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andeeppande\Desktop\"/>
    </mc:Choice>
  </mc:AlternateContent>
  <xr:revisionPtr revIDLastSave="0" documentId="13_ncr:1_{B12EB87D-9E17-47B3-9478-C66EFCBADC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1" sheetId="19" r:id="rId1"/>
    <sheet name="L2" sheetId="11" r:id="rId2"/>
    <sheet name="L3" sheetId="27" r:id="rId3"/>
    <sheet name="L4" sheetId="5" r:id="rId4"/>
    <sheet name="L5" sheetId="7" r:id="rId5"/>
    <sheet name="L6" sheetId="8" r:id="rId6"/>
    <sheet name="L7" sheetId="6" r:id="rId7"/>
    <sheet name="L10" sheetId="22" r:id="rId8"/>
    <sheet name="L11" sheetId="23" r:id="rId9"/>
    <sheet name="L15" sheetId="18" r:id="rId10"/>
    <sheet name="L17" sheetId="17" r:id="rId11"/>
    <sheet name="L22 Persistency Ratio" sheetId="28" r:id="rId12"/>
    <sheet name="L32" sheetId="9" r:id="rId13"/>
    <sheet name="L37FPI" sheetId="1" r:id="rId14"/>
    <sheet name="L37Lives" sheetId="2" r:id="rId15"/>
    <sheet name="L38 FPI" sheetId="4" r:id="rId16"/>
    <sheet name="L38 NOP" sheetId="3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18" i="3" l="1"/>
  <c r="AZ18" i="3"/>
  <c r="BA12" i="4"/>
  <c r="BA13" i="4"/>
  <c r="AZ12" i="4"/>
  <c r="AZ13" i="4"/>
  <c r="AX68" i="27"/>
  <c r="AX26" i="11"/>
  <c r="AY21" i="11"/>
  <c r="AX21" i="11"/>
  <c r="AT68" i="27"/>
  <c r="AT21" i="11"/>
  <c r="AU19" i="19"/>
  <c r="AU17" i="19"/>
  <c r="AR68" i="27"/>
  <c r="AR18" i="11"/>
  <c r="AR21" i="11"/>
  <c r="AR13" i="11"/>
  <c r="AP32" i="27"/>
  <c r="AQ19" i="19"/>
  <c r="AN68" i="27"/>
  <c r="AJ10" i="27"/>
  <c r="AJ21" i="11"/>
  <c r="AH10" i="27"/>
  <c r="AH21" i="11"/>
  <c r="AI19" i="19"/>
  <c r="AI17" i="19"/>
  <c r="AJ52" i="27"/>
  <c r="AL52" i="27"/>
  <c r="AN52" i="27"/>
  <c r="AP52" i="27"/>
  <c r="AR52" i="27"/>
  <c r="AT52" i="27"/>
  <c r="AX53" i="27"/>
  <c r="AT53" i="27"/>
  <c r="AR53" i="27"/>
  <c r="AP53" i="27"/>
  <c r="AN53" i="27"/>
  <c r="AL53" i="27"/>
  <c r="AJ53" i="27"/>
  <c r="AH52" i="27"/>
  <c r="AH53" i="27" s="1"/>
  <c r="AF26" i="11"/>
  <c r="AF18" i="11"/>
  <c r="AF21" i="11"/>
  <c r="AD21" i="11"/>
  <c r="AE19" i="19"/>
  <c r="AB21" i="11"/>
  <c r="AC17" i="19"/>
  <c r="Z53" i="27"/>
  <c r="Z52" i="27"/>
  <c r="Z18" i="11"/>
  <c r="X67" i="27"/>
  <c r="AV67" i="27" s="1"/>
  <c r="AZ67" i="27" s="1"/>
  <c r="X62" i="27"/>
  <c r="AV62" i="27" s="1"/>
  <c r="AZ62" i="27" s="1"/>
  <c r="X5" i="27"/>
  <c r="X18" i="11"/>
  <c r="X26" i="11" s="1"/>
  <c r="X21" i="11"/>
  <c r="Y19" i="19"/>
  <c r="Y17" i="19"/>
  <c r="V18" i="11"/>
  <c r="W58" i="19"/>
  <c r="AW58" i="19" s="1"/>
  <c r="BA58" i="19" s="1"/>
  <c r="T21" i="11"/>
  <c r="T13" i="11"/>
  <c r="U58" i="19"/>
  <c r="U17" i="19"/>
  <c r="AW17" i="19" s="1"/>
  <c r="BA17" i="19" s="1"/>
  <c r="P21" i="11"/>
  <c r="P13" i="11"/>
  <c r="Q17" i="19"/>
  <c r="N68" i="27"/>
  <c r="N13" i="11"/>
  <c r="O17" i="19"/>
  <c r="O19" i="19"/>
  <c r="L24" i="27"/>
  <c r="L16" i="27"/>
  <c r="L13" i="11"/>
  <c r="L26" i="11"/>
  <c r="M21" i="11"/>
  <c r="M13" i="11"/>
  <c r="L5" i="11"/>
  <c r="K18" i="11"/>
  <c r="J18" i="11"/>
  <c r="K21" i="11"/>
  <c r="J21" i="11"/>
  <c r="K17" i="19"/>
  <c r="H68" i="27"/>
  <c r="H21" i="11"/>
  <c r="F24" i="27"/>
  <c r="F16" i="27"/>
  <c r="F10" i="27"/>
  <c r="F21" i="11"/>
  <c r="F13" i="11"/>
  <c r="G17" i="19"/>
  <c r="B18" i="11"/>
  <c r="C19" i="19"/>
  <c r="D21" i="11"/>
  <c r="E19" i="19"/>
  <c r="AT17" i="17"/>
  <c r="AP23" i="17"/>
  <c r="AP21" i="17"/>
  <c r="AN17" i="17"/>
  <c r="AN21" i="17"/>
  <c r="AH23" i="17"/>
  <c r="AH21" i="17"/>
  <c r="AX20" i="18"/>
  <c r="AX10" i="18"/>
  <c r="AZ10" i="18" s="1"/>
  <c r="X12" i="22"/>
  <c r="AN32" i="18"/>
  <c r="AN22" i="18"/>
  <c r="AJ25" i="18"/>
  <c r="AJ19" i="18"/>
  <c r="AF22" i="18"/>
  <c r="AF13" i="18"/>
  <c r="Q12" i="22"/>
  <c r="AB32" i="18"/>
  <c r="AB25" i="18"/>
  <c r="AB22" i="18"/>
  <c r="AB19" i="18"/>
  <c r="AB13" i="18"/>
  <c r="Z42" i="18"/>
  <c r="Z38" i="18"/>
  <c r="Z32" i="18"/>
  <c r="X42" i="18"/>
  <c r="X32" i="18"/>
  <c r="X25" i="18"/>
  <c r="AX15" i="6"/>
  <c r="AT22" i="6"/>
  <c r="AT10" i="6"/>
  <c r="AR22" i="6"/>
  <c r="AP22" i="6"/>
  <c r="AJ22" i="6"/>
  <c r="AD22" i="6"/>
  <c r="T22" i="6"/>
  <c r="AX36" i="8"/>
  <c r="AT36" i="8"/>
  <c r="AP36" i="8"/>
  <c r="AN36" i="8"/>
  <c r="AJ36" i="8"/>
  <c r="AF36" i="8"/>
  <c r="AD39" i="8"/>
  <c r="AD36" i="8"/>
  <c r="Z36" i="8"/>
  <c r="X36" i="8"/>
  <c r="U36" i="8"/>
  <c r="T36" i="8"/>
  <c r="P36" i="8"/>
  <c r="P39" i="8" s="1"/>
  <c r="N36" i="8"/>
  <c r="J36" i="8"/>
  <c r="J39" i="8" s="1"/>
  <c r="H36" i="8"/>
  <c r="H39" i="8" s="1"/>
  <c r="B10" i="6"/>
  <c r="B12" i="22"/>
  <c r="AZ10" i="5"/>
  <c r="AI19" i="3"/>
  <c r="AH19" i="3"/>
  <c r="X18" i="4"/>
  <c r="X11" i="1"/>
  <c r="X11" i="2"/>
  <c r="X19" i="3"/>
  <c r="Z13" i="18"/>
  <c r="D22" i="18"/>
  <c r="D13" i="18"/>
  <c r="AW13" i="7"/>
  <c r="AV13" i="7"/>
  <c r="R14" i="7"/>
  <c r="M14" i="7"/>
  <c r="BA41" i="18"/>
  <c r="BA39" i="18"/>
  <c r="BA37" i="18"/>
  <c r="BA35" i="18"/>
  <c r="BA31" i="18"/>
  <c r="BA30" i="18"/>
  <c r="BA29" i="18"/>
  <c r="BA27" i="18"/>
  <c r="BA26" i="18"/>
  <c r="BA18" i="18"/>
  <c r="BA15" i="18"/>
  <c r="BA12" i="18"/>
  <c r="BA11" i="18"/>
  <c r="BA7" i="18"/>
  <c r="BA6" i="18"/>
  <c r="AZ41" i="18"/>
  <c r="AZ39" i="18"/>
  <c r="AZ37" i="18"/>
  <c r="AZ35" i="18"/>
  <c r="AZ31" i="18"/>
  <c r="AZ30" i="18"/>
  <c r="AZ29" i="18"/>
  <c r="AZ27" i="18"/>
  <c r="AZ26" i="18"/>
  <c r="AZ21" i="18"/>
  <c r="AZ18" i="18"/>
  <c r="AZ15" i="18"/>
  <c r="AZ12" i="18"/>
  <c r="AZ11" i="18"/>
  <c r="AZ7" i="18"/>
  <c r="AZ6" i="18"/>
  <c r="AU68" i="27"/>
  <c r="AU21" i="11"/>
  <c r="AV19" i="19"/>
  <c r="AV17" i="19"/>
  <c r="AS68" i="27"/>
  <c r="AW68" i="27" s="1"/>
  <c r="BA68" i="27" s="1"/>
  <c r="AS18" i="11"/>
  <c r="AS26" i="11" s="1"/>
  <c r="AJ19" i="19"/>
  <c r="AR19" i="19"/>
  <c r="AQ32" i="27"/>
  <c r="AW32" i="27" s="1"/>
  <c r="BA32" i="27" s="1"/>
  <c r="AQ36" i="8"/>
  <c r="AQ39" i="8"/>
  <c r="AQ19" i="18"/>
  <c r="AQ12" i="1"/>
  <c r="AT32" i="18"/>
  <c r="AT25" i="18"/>
  <c r="AT22" i="18"/>
  <c r="AT19" i="18"/>
  <c r="AT42" i="18" s="1"/>
  <c r="AT13" i="18"/>
  <c r="AR32" i="18"/>
  <c r="AR25" i="18"/>
  <c r="AR22" i="18"/>
  <c r="AR19" i="18"/>
  <c r="AR13" i="18"/>
  <c r="AP25" i="18"/>
  <c r="AP32" i="18" s="1"/>
  <c r="AP42" i="18" s="1"/>
  <c r="AP13" i="18"/>
  <c r="AY68" i="27"/>
  <c r="AY36" i="8"/>
  <c r="AY39" i="8"/>
  <c r="AY20" i="18"/>
  <c r="AZ20" i="18"/>
  <c r="AY10" i="18"/>
  <c r="AY13" i="18" s="1"/>
  <c r="AY22" i="18" s="1"/>
  <c r="AO36" i="8"/>
  <c r="AO39" i="8" s="1"/>
  <c r="AO68" i="27"/>
  <c r="AK18" i="11"/>
  <c r="AK21" i="11"/>
  <c r="AK36" i="8"/>
  <c r="AK8" i="8"/>
  <c r="AK39" i="8" s="1"/>
  <c r="AJ32" i="18"/>
  <c r="AJ22" i="18"/>
  <c r="AJ13" i="18"/>
  <c r="AH25" i="18"/>
  <c r="AH22" i="18"/>
  <c r="AH42" i="18" s="1"/>
  <c r="AH19" i="18"/>
  <c r="AH13" i="18"/>
  <c r="AH32" i="18" s="1"/>
  <c r="AI18" i="11"/>
  <c r="AI21" i="11"/>
  <c r="AG21" i="11"/>
  <c r="AG36" i="8"/>
  <c r="AG39" i="8" s="1"/>
  <c r="Q14" i="22"/>
  <c r="AD19" i="18"/>
  <c r="AD25" i="18"/>
  <c r="AD22" i="18"/>
  <c r="AD13" i="18"/>
  <c r="AD32" i="18" s="1"/>
  <c r="AE36" i="8"/>
  <c r="AE40" i="11"/>
  <c r="AD19" i="19"/>
  <c r="AC21" i="11"/>
  <c r="N14" i="22"/>
  <c r="Z25" i="18"/>
  <c r="Z22" i="18"/>
  <c r="Z19" i="18"/>
  <c r="AA36" i="8"/>
  <c r="AA39" i="8" s="1"/>
  <c r="Z17" i="19"/>
  <c r="Z19" i="19"/>
  <c r="Y21" i="11"/>
  <c r="Y18" i="11"/>
  <c r="Y13" i="11"/>
  <c r="Y67" i="27"/>
  <c r="Y62" i="27"/>
  <c r="Y36" i="8"/>
  <c r="Y39" i="8" s="1"/>
  <c r="Y11" i="1"/>
  <c r="Y11" i="2"/>
  <c r="X58" i="19"/>
  <c r="AX58" i="19" s="1"/>
  <c r="BB58" i="19" s="1"/>
  <c r="W13" i="11"/>
  <c r="S68" i="27"/>
  <c r="S28" i="27"/>
  <c r="AV28" i="27"/>
  <c r="AZ28" i="27" s="1"/>
  <c r="S16" i="27"/>
  <c r="AW16" i="27" s="1"/>
  <c r="BA16" i="27" s="1"/>
  <c r="AV16" i="27"/>
  <c r="AZ16" i="27" s="1"/>
  <c r="V58" i="19"/>
  <c r="U31" i="11"/>
  <c r="U18" i="11"/>
  <c r="U13" i="11"/>
  <c r="T26" i="11"/>
  <c r="AX39" i="8"/>
  <c r="AF39" i="8"/>
  <c r="AJ26" i="11"/>
  <c r="T34" i="6"/>
  <c r="T36" i="6" s="1"/>
  <c r="T38" i="6" s="1"/>
  <c r="U22" i="6"/>
  <c r="U34" i="6" s="1"/>
  <c r="U36" i="6" s="1"/>
  <c r="U38" i="6" s="1"/>
  <c r="S17" i="6"/>
  <c r="AE22" i="6"/>
  <c r="AS22" i="6"/>
  <c r="AU9" i="6"/>
  <c r="AU10" i="6"/>
  <c r="AY15" i="6"/>
  <c r="AW36" i="19"/>
  <c r="BA36" i="19" s="1"/>
  <c r="AV18" i="7"/>
  <c r="AZ18" i="7" s="1"/>
  <c r="AV17" i="7"/>
  <c r="AZ17" i="7" s="1"/>
  <c r="R26" i="11"/>
  <c r="T36" i="19"/>
  <c r="R17" i="19"/>
  <c r="AX17" i="19" s="1"/>
  <c r="BB17" i="19" s="1"/>
  <c r="Q13" i="11"/>
  <c r="Q26" i="11" s="1"/>
  <c r="Q21" i="11"/>
  <c r="O36" i="8"/>
  <c r="O39" i="8" s="1"/>
  <c r="N39" i="8"/>
  <c r="O13" i="11"/>
  <c r="O68" i="27"/>
  <c r="M5" i="11"/>
  <c r="M36" i="8"/>
  <c r="M39" i="8"/>
  <c r="M24" i="27"/>
  <c r="AW24" i="27" s="1"/>
  <c r="BA24" i="27" s="1"/>
  <c r="M16" i="27"/>
  <c r="K36" i="8"/>
  <c r="K39" i="8" s="1"/>
  <c r="I27" i="7"/>
  <c r="I68" i="27"/>
  <c r="I10" i="6"/>
  <c r="I36" i="8"/>
  <c r="I39" i="8" s="1"/>
  <c r="I21" i="11"/>
  <c r="I13" i="11"/>
  <c r="G24" i="27"/>
  <c r="G16" i="27"/>
  <c r="G13" i="11"/>
  <c r="E21" i="11"/>
  <c r="C26" i="17"/>
  <c r="AW26" i="17" s="1"/>
  <c r="BA26" i="17" s="1"/>
  <c r="C10" i="6"/>
  <c r="C18" i="11"/>
  <c r="B26" i="11"/>
  <c r="AW34" i="11"/>
  <c r="G31" i="11"/>
  <c r="E31" i="11"/>
  <c r="B39" i="8"/>
  <c r="Q39" i="8"/>
  <c r="S39" i="8"/>
  <c r="U39" i="8"/>
  <c r="W39" i="8"/>
  <c r="AC39" i="8"/>
  <c r="AE39" i="8"/>
  <c r="AI39" i="8"/>
  <c r="AS39" i="8"/>
  <c r="C39" i="8"/>
  <c r="E39" i="8"/>
  <c r="AW12" i="3"/>
  <c r="BA12" i="3" s="1"/>
  <c r="AW13" i="3"/>
  <c r="BA13" i="3" s="1"/>
  <c r="AV12" i="3"/>
  <c r="AZ12" i="3" s="1"/>
  <c r="AV13" i="3"/>
  <c r="AZ13" i="3" s="1"/>
  <c r="AW12" i="4"/>
  <c r="AW13" i="4"/>
  <c r="AV12" i="4"/>
  <c r="AV13" i="4"/>
  <c r="AW18" i="3"/>
  <c r="AV18" i="3"/>
  <c r="Y19" i="3"/>
  <c r="AU27" i="7"/>
  <c r="AT27" i="7"/>
  <c r="AS27" i="7"/>
  <c r="AQ27" i="7"/>
  <c r="AR27" i="7"/>
  <c r="AO27" i="7"/>
  <c r="AP27" i="7"/>
  <c r="AM27" i="7"/>
  <c r="AN27" i="7"/>
  <c r="AK27" i="7"/>
  <c r="AL27" i="7"/>
  <c r="AI27" i="7"/>
  <c r="AJ27" i="7"/>
  <c r="AG27" i="7"/>
  <c r="AH27" i="7"/>
  <c r="AF27" i="7"/>
  <c r="AE27" i="7"/>
  <c r="AC27" i="7"/>
  <c r="AD27" i="7"/>
  <c r="AA27" i="7"/>
  <c r="AB27" i="7"/>
  <c r="Y27" i="7"/>
  <c r="Z27" i="7"/>
  <c r="W27" i="7"/>
  <c r="X27" i="7"/>
  <c r="U27" i="7"/>
  <c r="V27" i="7"/>
  <c r="S27" i="7"/>
  <c r="Q27" i="7"/>
  <c r="R27" i="7"/>
  <c r="O27" i="7"/>
  <c r="P27" i="7"/>
  <c r="M27" i="7"/>
  <c r="N27" i="7"/>
  <c r="K27" i="7"/>
  <c r="L27" i="7"/>
  <c r="J27" i="7"/>
  <c r="G27" i="7"/>
  <c r="H27" i="7"/>
  <c r="E27" i="7"/>
  <c r="F27" i="7"/>
  <c r="C27" i="7"/>
  <c r="D27" i="7"/>
  <c r="B27" i="7"/>
  <c r="C69" i="27"/>
  <c r="AV6" i="9"/>
  <c r="AZ6" i="9" s="1"/>
  <c r="AV7" i="9"/>
  <c r="AZ7" i="9" s="1"/>
  <c r="AV8" i="9"/>
  <c r="AZ8" i="9" s="1"/>
  <c r="AV9" i="9"/>
  <c r="AZ9" i="9" s="1"/>
  <c r="AV10" i="9"/>
  <c r="AZ10" i="9" s="1"/>
  <c r="AV11" i="9"/>
  <c r="AZ11" i="9" s="1"/>
  <c r="AV12" i="9"/>
  <c r="AZ12" i="9" s="1"/>
  <c r="AV13" i="9"/>
  <c r="AZ13" i="9" s="1"/>
  <c r="AV14" i="9"/>
  <c r="AZ14" i="9" s="1"/>
  <c r="AV15" i="9"/>
  <c r="AZ15" i="9" s="1"/>
  <c r="AV5" i="9"/>
  <c r="AZ5" i="9" s="1"/>
  <c r="AX23" i="17"/>
  <c r="AY23" i="17"/>
  <c r="J25" i="18"/>
  <c r="J22" i="18"/>
  <c r="J32" i="18" s="1"/>
  <c r="J19" i="18"/>
  <c r="D32" i="18"/>
  <c r="AV11" i="27"/>
  <c r="AZ11" i="27" s="1"/>
  <c r="G69" i="27"/>
  <c r="P23" i="17"/>
  <c r="P21" i="17"/>
  <c r="P22" i="18"/>
  <c r="P21" i="18"/>
  <c r="P20" i="18"/>
  <c r="P19" i="18"/>
  <c r="AR26" i="11"/>
  <c r="AD42" i="18"/>
  <c r="AV6" i="27"/>
  <c r="AZ6" i="27" s="1"/>
  <c r="AV7" i="27"/>
  <c r="AZ7" i="27" s="1"/>
  <c r="AV8" i="27"/>
  <c r="AZ8" i="27" s="1"/>
  <c r="AV9" i="27"/>
  <c r="AZ9" i="27" s="1"/>
  <c r="AV12" i="27"/>
  <c r="AZ12" i="27" s="1"/>
  <c r="AV13" i="27"/>
  <c r="AZ13" i="27" s="1"/>
  <c r="AV14" i="27"/>
  <c r="AZ14" i="27" s="1"/>
  <c r="AV15" i="27"/>
  <c r="AZ15" i="27" s="1"/>
  <c r="AV17" i="27"/>
  <c r="AZ17" i="27" s="1"/>
  <c r="AV18" i="27"/>
  <c r="AZ18" i="27" s="1"/>
  <c r="AV19" i="27"/>
  <c r="AZ19" i="27" s="1"/>
  <c r="AV20" i="27"/>
  <c r="AZ20" i="27" s="1"/>
  <c r="AV21" i="27"/>
  <c r="AZ21" i="27" s="1"/>
  <c r="AV22" i="27"/>
  <c r="AZ22" i="27" s="1"/>
  <c r="AV23" i="27"/>
  <c r="AZ23" i="27" s="1"/>
  <c r="AV25" i="27"/>
  <c r="AZ25" i="27" s="1"/>
  <c r="AV26" i="27"/>
  <c r="AZ26" i="27" s="1"/>
  <c r="AV27" i="27"/>
  <c r="AZ27" i="27" s="1"/>
  <c r="AV29" i="27"/>
  <c r="AZ29" i="27" s="1"/>
  <c r="AV30" i="27"/>
  <c r="AZ30" i="27" s="1"/>
  <c r="AV31" i="27"/>
  <c r="AZ31" i="27" s="1"/>
  <c r="AV32" i="27"/>
  <c r="AZ32" i="27" s="1"/>
  <c r="AV33" i="27"/>
  <c r="AZ33" i="27" s="1"/>
  <c r="AV34" i="27"/>
  <c r="AZ34" i="27" s="1"/>
  <c r="AV35" i="27"/>
  <c r="AZ35" i="27" s="1"/>
  <c r="AV36" i="27"/>
  <c r="AZ36" i="27" s="1"/>
  <c r="AV37" i="27"/>
  <c r="AZ37" i="27" s="1"/>
  <c r="AV38" i="27"/>
  <c r="AZ38" i="27" s="1"/>
  <c r="AV39" i="27"/>
  <c r="AZ39" i="27" s="1"/>
  <c r="AV40" i="27"/>
  <c r="AZ40" i="27" s="1"/>
  <c r="AV41" i="27"/>
  <c r="AZ41" i="27" s="1"/>
  <c r="AV42" i="27"/>
  <c r="AZ42" i="27" s="1"/>
  <c r="AV43" i="27"/>
  <c r="AZ43" i="27" s="1"/>
  <c r="AV44" i="27"/>
  <c r="AZ44" i="27" s="1"/>
  <c r="AV45" i="27"/>
  <c r="AZ45" i="27" s="1"/>
  <c r="AV46" i="27"/>
  <c r="AZ46" i="27" s="1"/>
  <c r="AV47" i="27"/>
  <c r="AZ47" i="27" s="1"/>
  <c r="AV48" i="27"/>
  <c r="AZ48" i="27" s="1"/>
  <c r="AV49" i="27"/>
  <c r="AZ49" i="27" s="1"/>
  <c r="AV50" i="27"/>
  <c r="AZ50" i="27" s="1"/>
  <c r="AV51" i="27"/>
  <c r="AZ51" i="27" s="1"/>
  <c r="AV54" i="27"/>
  <c r="AZ54" i="27" s="1"/>
  <c r="AV55" i="27"/>
  <c r="AZ55" i="27" s="1"/>
  <c r="AV56" i="27"/>
  <c r="AZ56" i="27" s="1"/>
  <c r="AV57" i="27"/>
  <c r="AZ57" i="27" s="1"/>
  <c r="AV58" i="27"/>
  <c r="AZ58" i="27" s="1"/>
  <c r="AV59" i="27"/>
  <c r="AZ59" i="27" s="1"/>
  <c r="AV60" i="27"/>
  <c r="AZ60" i="27" s="1"/>
  <c r="AV61" i="27"/>
  <c r="AZ61" i="27" s="1"/>
  <c r="AV63" i="27"/>
  <c r="AZ63" i="27" s="1"/>
  <c r="AV64" i="27"/>
  <c r="AZ64" i="27" s="1"/>
  <c r="AV65" i="27"/>
  <c r="AZ65" i="27" s="1"/>
  <c r="AV66" i="27"/>
  <c r="AZ66" i="27" s="1"/>
  <c r="AP22" i="18"/>
  <c r="N32" i="18"/>
  <c r="N25" i="18"/>
  <c r="N22" i="18"/>
  <c r="N19" i="18"/>
  <c r="N42" i="18" s="1"/>
  <c r="N13" i="18"/>
  <c r="C14" i="9"/>
  <c r="M14" i="9"/>
  <c r="S14" i="9"/>
  <c r="W14" i="9"/>
  <c r="AA14" i="9"/>
  <c r="AI14" i="9"/>
  <c r="AK14" i="9"/>
  <c r="AM14" i="9"/>
  <c r="AO14" i="9"/>
  <c r="AQ14" i="9"/>
  <c r="AS14" i="9"/>
  <c r="AU14" i="9"/>
  <c r="L25" i="18"/>
  <c r="L22" i="18"/>
  <c r="L32" i="18" s="1"/>
  <c r="L19" i="18"/>
  <c r="L13" i="18"/>
  <c r="AW34" i="18"/>
  <c r="BA34" i="18" s="1"/>
  <c r="AW9" i="18"/>
  <c r="BA9" i="18" s="1"/>
  <c r="AV34" i="18"/>
  <c r="AZ34" i="18" s="1"/>
  <c r="H42" i="18"/>
  <c r="H13" i="18"/>
  <c r="H22" i="18" s="1"/>
  <c r="B32" i="18"/>
  <c r="B25" i="18"/>
  <c r="B22" i="18"/>
  <c r="B19" i="18"/>
  <c r="B13" i="18"/>
  <c r="U8" i="23"/>
  <c r="V8" i="23"/>
  <c r="W8" i="23"/>
  <c r="X8" i="23"/>
  <c r="N8" i="23"/>
  <c r="O8" i="23"/>
  <c r="P8" i="23"/>
  <c r="Q8" i="23"/>
  <c r="R8" i="23"/>
  <c r="S8" i="23"/>
  <c r="T8" i="23"/>
  <c r="D8" i="23"/>
  <c r="E8" i="23"/>
  <c r="F8" i="23"/>
  <c r="G8" i="23"/>
  <c r="H8" i="23"/>
  <c r="I8" i="23"/>
  <c r="J8" i="23"/>
  <c r="K8" i="23"/>
  <c r="L8" i="23"/>
  <c r="M8" i="23"/>
  <c r="C8" i="23"/>
  <c r="B8" i="23"/>
  <c r="X39" i="8"/>
  <c r="AH39" i="8"/>
  <c r="AB39" i="8"/>
  <c r="V39" i="8"/>
  <c r="T39" i="8"/>
  <c r="L39" i="8"/>
  <c r="G39" i="8"/>
  <c r="F39" i="8"/>
  <c r="D39" i="8"/>
  <c r="AR39" i="8"/>
  <c r="AP39" i="8"/>
  <c r="AM39" i="8"/>
  <c r="AN39" i="8"/>
  <c r="AL39" i="8"/>
  <c r="AJ39" i="8"/>
  <c r="AW11" i="6"/>
  <c r="BA11" i="6" s="1"/>
  <c r="AW41" i="19"/>
  <c r="BA41" i="19" s="1"/>
  <c r="AV10" i="27"/>
  <c r="AZ10" i="27" s="1"/>
  <c r="Q69" i="27"/>
  <c r="AW67" i="27"/>
  <c r="BA67" i="27"/>
  <c r="AW66" i="27"/>
  <c r="BA66" i="27" s="1"/>
  <c r="AW65" i="27"/>
  <c r="BA65" i="27" s="1"/>
  <c r="AW64" i="27"/>
  <c r="BA64" i="27" s="1"/>
  <c r="AW63" i="27"/>
  <c r="BA63" i="27"/>
  <c r="AW62" i="27"/>
  <c r="BA62" i="27" s="1"/>
  <c r="AW61" i="27"/>
  <c r="BA61" i="27" s="1"/>
  <c r="AW60" i="27"/>
  <c r="BA60" i="27"/>
  <c r="AW59" i="27"/>
  <c r="BA59" i="27"/>
  <c r="AW58" i="27"/>
  <c r="BA58" i="27" s="1"/>
  <c r="AW57" i="27"/>
  <c r="BA57" i="27" s="1"/>
  <c r="AW56" i="27"/>
  <c r="BA56" i="27"/>
  <c r="AW55" i="27"/>
  <c r="BA55" i="27" s="1"/>
  <c r="AW54" i="27"/>
  <c r="BA54" i="27" s="1"/>
  <c r="AU52" i="27"/>
  <c r="AU53" i="27" s="1"/>
  <c r="AS52" i="27"/>
  <c r="AS53" i="27" s="1"/>
  <c r="AQ52" i="27"/>
  <c r="AO52" i="27"/>
  <c r="AO53" i="27" s="1"/>
  <c r="AM52" i="27"/>
  <c r="AM53" i="27"/>
  <c r="AK52" i="27"/>
  <c r="AK53" i="27"/>
  <c r="AI52" i="27"/>
  <c r="AG52" i="27"/>
  <c r="AG53" i="27" s="1"/>
  <c r="AE52" i="27"/>
  <c r="AE53" i="27" s="1"/>
  <c r="AC52" i="27"/>
  <c r="AC53" i="27" s="1"/>
  <c r="AA52" i="27"/>
  <c r="AA53" i="27" s="1"/>
  <c r="Y52" i="27"/>
  <c r="Y53" i="27" s="1"/>
  <c r="W52" i="27"/>
  <c r="W53" i="27" s="1"/>
  <c r="U52" i="27"/>
  <c r="U53" i="27" s="1"/>
  <c r="S52" i="27"/>
  <c r="S53" i="27"/>
  <c r="Q53" i="27"/>
  <c r="O52" i="27"/>
  <c r="O53" i="27" s="1"/>
  <c r="M52" i="27"/>
  <c r="M53" i="27"/>
  <c r="K52" i="27"/>
  <c r="K53" i="27"/>
  <c r="I52" i="27"/>
  <c r="I53" i="27" s="1"/>
  <c r="G52" i="27"/>
  <c r="G53" i="27" s="1"/>
  <c r="E52" i="27"/>
  <c r="E53" i="27"/>
  <c r="C52" i="27"/>
  <c r="C53" i="27"/>
  <c r="AW51" i="27"/>
  <c r="BA51" i="27" s="1"/>
  <c r="AW50" i="27"/>
  <c r="BA50" i="27" s="1"/>
  <c r="AW49" i="27"/>
  <c r="BA49" i="27" s="1"/>
  <c r="AW48" i="27"/>
  <c r="BA48" i="27" s="1"/>
  <c r="AW47" i="27"/>
  <c r="BA47" i="27" s="1"/>
  <c r="AW46" i="27"/>
  <c r="BA46" i="27" s="1"/>
  <c r="AW45" i="27"/>
  <c r="BA45" i="27"/>
  <c r="AW44" i="27"/>
  <c r="BA44" i="27" s="1"/>
  <c r="AW43" i="27"/>
  <c r="BA43" i="27" s="1"/>
  <c r="AW42" i="27"/>
  <c r="BA42" i="27" s="1"/>
  <c r="AW41" i="27"/>
  <c r="BA41" i="27" s="1"/>
  <c r="AW40" i="27"/>
  <c r="BA40" i="27" s="1"/>
  <c r="AW39" i="27"/>
  <c r="BA39" i="27" s="1"/>
  <c r="AW38" i="27"/>
  <c r="BA38" i="27" s="1"/>
  <c r="AW37" i="27"/>
  <c r="BA37" i="27"/>
  <c r="AW36" i="27"/>
  <c r="BA36" i="27" s="1"/>
  <c r="AW35" i="27"/>
  <c r="BA35" i="27"/>
  <c r="AW34" i="27"/>
  <c r="BA34" i="27" s="1"/>
  <c r="AW33" i="27"/>
  <c r="BA33" i="27"/>
  <c r="AW31" i="27"/>
  <c r="BA31" i="27"/>
  <c r="AW30" i="27"/>
  <c r="BA30" i="27" s="1"/>
  <c r="AW29" i="27"/>
  <c r="BA29" i="27" s="1"/>
  <c r="AW28" i="27"/>
  <c r="BA28" i="27" s="1"/>
  <c r="AW27" i="27"/>
  <c r="BA27" i="27"/>
  <c r="AW26" i="27"/>
  <c r="BA26" i="27" s="1"/>
  <c r="AW25" i="27"/>
  <c r="BA25" i="27" s="1"/>
  <c r="AW23" i="27"/>
  <c r="BA23" i="27"/>
  <c r="AW22" i="27"/>
  <c r="BA22" i="27" s="1"/>
  <c r="AW21" i="27"/>
  <c r="BA21" i="27"/>
  <c r="AW20" i="27"/>
  <c r="BA20" i="27" s="1"/>
  <c r="AW19" i="27"/>
  <c r="BA19" i="27"/>
  <c r="AW18" i="27"/>
  <c r="BA18" i="27" s="1"/>
  <c r="AW17" i="27"/>
  <c r="BA17" i="27"/>
  <c r="AW15" i="27"/>
  <c r="BA15" i="27"/>
  <c r="AW14" i="27"/>
  <c r="BA14" i="27" s="1"/>
  <c r="AW13" i="27"/>
  <c r="BA13" i="27" s="1"/>
  <c r="AW12" i="27"/>
  <c r="BA12" i="27" s="1"/>
  <c r="AW11" i="27"/>
  <c r="BA11" i="27" s="1"/>
  <c r="AY10" i="27"/>
  <c r="AU10" i="27"/>
  <c r="AS10" i="27"/>
  <c r="AQ10" i="27"/>
  <c r="AO10" i="27"/>
  <c r="AM10" i="27"/>
  <c r="AK10" i="27"/>
  <c r="AI10" i="27"/>
  <c r="AG10" i="27"/>
  <c r="AE10" i="27"/>
  <c r="AC10" i="27"/>
  <c r="AA10" i="27"/>
  <c r="Y10" i="27"/>
  <c r="W10" i="27"/>
  <c r="U10" i="27"/>
  <c r="S10" i="27"/>
  <c r="Q10" i="27"/>
  <c r="O10" i="27"/>
  <c r="M10" i="27"/>
  <c r="K10" i="27"/>
  <c r="I10" i="27"/>
  <c r="G10" i="27"/>
  <c r="E10" i="27"/>
  <c r="C10" i="27"/>
  <c r="AW9" i="27"/>
  <c r="BA9" i="27" s="1"/>
  <c r="AW8" i="27"/>
  <c r="BA8" i="27" s="1"/>
  <c r="AW7" i="27"/>
  <c r="BA7" i="27" s="1"/>
  <c r="AW6" i="27"/>
  <c r="BA6" i="27"/>
  <c r="AW5" i="27"/>
  <c r="BA5" i="27" s="1"/>
  <c r="AW38" i="19"/>
  <c r="BA38" i="19" s="1"/>
  <c r="AV4" i="17"/>
  <c r="AZ4" i="17" s="1"/>
  <c r="AV5" i="17"/>
  <c r="AZ5" i="17" s="1"/>
  <c r="AV6" i="17"/>
  <c r="AZ6" i="17" s="1"/>
  <c r="AV7" i="17"/>
  <c r="AZ7" i="17" s="1"/>
  <c r="AV8" i="17"/>
  <c r="AZ8" i="17" s="1"/>
  <c r="AV9" i="17"/>
  <c r="AZ9" i="17" s="1"/>
  <c r="AV10" i="17"/>
  <c r="AZ10" i="17" s="1"/>
  <c r="AV11" i="17"/>
  <c r="AZ11" i="17" s="1"/>
  <c r="AV12" i="17"/>
  <c r="AZ12" i="17" s="1"/>
  <c r="AV13" i="17"/>
  <c r="AZ13" i="17" s="1"/>
  <c r="AV16" i="17"/>
  <c r="AZ16" i="17" s="1"/>
  <c r="AV17" i="17"/>
  <c r="AZ17" i="17" s="1"/>
  <c r="AV18" i="17"/>
  <c r="AZ18" i="17" s="1"/>
  <c r="AV19" i="17"/>
  <c r="AZ19" i="17" s="1"/>
  <c r="AV20" i="17"/>
  <c r="AZ20" i="17" s="1"/>
  <c r="AV22" i="17"/>
  <c r="AZ22" i="17" s="1"/>
  <c r="AV23" i="17"/>
  <c r="AV24" i="17"/>
  <c r="AZ24" i="17" s="1"/>
  <c r="AV25" i="17"/>
  <c r="AZ25" i="17" s="1"/>
  <c r="AV26" i="17"/>
  <c r="AZ26" i="17" s="1"/>
  <c r="AV27" i="17"/>
  <c r="AZ27" i="17" s="1"/>
  <c r="AV28" i="17"/>
  <c r="AZ28" i="17" s="1"/>
  <c r="AV29" i="17"/>
  <c r="AZ29" i="17" s="1"/>
  <c r="AW4" i="17"/>
  <c r="BA4" i="17" s="1"/>
  <c r="AW5" i="17"/>
  <c r="BA5" i="17" s="1"/>
  <c r="AW6" i="17"/>
  <c r="AW7" i="17"/>
  <c r="BA7" i="17" s="1"/>
  <c r="AW8" i="17"/>
  <c r="BA8" i="17" s="1"/>
  <c r="AW9" i="17"/>
  <c r="BA9" i="17"/>
  <c r="AW10" i="17"/>
  <c r="BA10" i="17"/>
  <c r="AW11" i="17"/>
  <c r="BA11" i="17"/>
  <c r="AW12" i="17"/>
  <c r="BA12" i="17" s="1"/>
  <c r="AW13" i="17"/>
  <c r="BA13" i="17"/>
  <c r="AW16" i="17"/>
  <c r="BA16" i="17" s="1"/>
  <c r="AW18" i="17"/>
  <c r="BA18" i="17"/>
  <c r="AW19" i="17"/>
  <c r="BA19" i="17" s="1"/>
  <c r="AW20" i="17"/>
  <c r="BA20" i="17"/>
  <c r="AW22" i="17"/>
  <c r="BA22" i="17"/>
  <c r="AW24" i="17"/>
  <c r="BA24" i="17"/>
  <c r="AW25" i="17"/>
  <c r="BA25" i="17" s="1"/>
  <c r="AW27" i="17"/>
  <c r="BA27" i="17"/>
  <c r="AW28" i="17"/>
  <c r="BA28" i="17" s="1"/>
  <c r="AW29" i="17"/>
  <c r="BA29" i="17" s="1"/>
  <c r="AW3" i="17"/>
  <c r="BA3" i="17" s="1"/>
  <c r="AV3" i="17"/>
  <c r="AZ3" i="17" s="1"/>
  <c r="I13" i="18"/>
  <c r="I19" i="18"/>
  <c r="I22" i="18" s="1"/>
  <c r="I42" i="18"/>
  <c r="C13" i="18"/>
  <c r="C19" i="18"/>
  <c r="C22" i="18"/>
  <c r="C25" i="18"/>
  <c r="C32" i="18" s="1"/>
  <c r="C42" i="18"/>
  <c r="AW9" i="19"/>
  <c r="BA9" i="19" s="1"/>
  <c r="AW10" i="19"/>
  <c r="BA10" i="19" s="1"/>
  <c r="AW11" i="19"/>
  <c r="BA11" i="19" s="1"/>
  <c r="AW12" i="19"/>
  <c r="BA12" i="19" s="1"/>
  <c r="AW13" i="19"/>
  <c r="BA13" i="19" s="1"/>
  <c r="AW14" i="19"/>
  <c r="BA14" i="19" s="1"/>
  <c r="AW15" i="19"/>
  <c r="BA15" i="19" s="1"/>
  <c r="AW16" i="19"/>
  <c r="BA16" i="19" s="1"/>
  <c r="AW18" i="19"/>
  <c r="BA18" i="19" s="1"/>
  <c r="AW20" i="19"/>
  <c r="BA20" i="19" s="1"/>
  <c r="AW21" i="19"/>
  <c r="BA21" i="19" s="1"/>
  <c r="AW22" i="19"/>
  <c r="BA22" i="19" s="1"/>
  <c r="AW23" i="19"/>
  <c r="BA23" i="19" s="1"/>
  <c r="AW24" i="19"/>
  <c r="BA24" i="19" s="1"/>
  <c r="AW25" i="19"/>
  <c r="BA25" i="19" s="1"/>
  <c r="AW27" i="19"/>
  <c r="BA27" i="19" s="1"/>
  <c r="AW28" i="19"/>
  <c r="BA28" i="19" s="1"/>
  <c r="AW29" i="19"/>
  <c r="BA29" i="19" s="1"/>
  <c r="AW30" i="19"/>
  <c r="BA30" i="19" s="1"/>
  <c r="AW31" i="19"/>
  <c r="BA31" i="19" s="1"/>
  <c r="AW32" i="19"/>
  <c r="BA32" i="19" s="1"/>
  <c r="AW33" i="19"/>
  <c r="BA33" i="19" s="1"/>
  <c r="AW34" i="19"/>
  <c r="BA34" i="19" s="1"/>
  <c r="AW35" i="19"/>
  <c r="BA35" i="19" s="1"/>
  <c r="AW37" i="19"/>
  <c r="BA37" i="19" s="1"/>
  <c r="AW39" i="19"/>
  <c r="BA39" i="19" s="1"/>
  <c r="AW40" i="19"/>
  <c r="BA40" i="19" s="1"/>
  <c r="AW42" i="19"/>
  <c r="BA42" i="19" s="1"/>
  <c r="AW43" i="19"/>
  <c r="BA43" i="19" s="1"/>
  <c r="AW44" i="19"/>
  <c r="BA44" i="19" s="1"/>
  <c r="AW45" i="19"/>
  <c r="BA45" i="19" s="1"/>
  <c r="AW46" i="19"/>
  <c r="BA46" i="19" s="1"/>
  <c r="AW47" i="19"/>
  <c r="BA47" i="19" s="1"/>
  <c r="AW48" i="19"/>
  <c r="BA48" i="19" s="1"/>
  <c r="AW49" i="19"/>
  <c r="BA49" i="19" s="1"/>
  <c r="AW50" i="19"/>
  <c r="BA50" i="19" s="1"/>
  <c r="AW52" i="19"/>
  <c r="BA52" i="19" s="1"/>
  <c r="AW53" i="19"/>
  <c r="BA53" i="19" s="1"/>
  <c r="AW54" i="19"/>
  <c r="BA54" i="19" s="1"/>
  <c r="AW55" i="19"/>
  <c r="BA55" i="19" s="1"/>
  <c r="AW56" i="19"/>
  <c r="BA56" i="19" s="1"/>
  <c r="AW57" i="19"/>
  <c r="BA57" i="19" s="1"/>
  <c r="AW59" i="19"/>
  <c r="BA59" i="19" s="1"/>
  <c r="AW60" i="19"/>
  <c r="BA60" i="19" s="1"/>
  <c r="AW61" i="19"/>
  <c r="BA61" i="19" s="1"/>
  <c r="AX7" i="19"/>
  <c r="BB7" i="19" s="1"/>
  <c r="AX9" i="19"/>
  <c r="BB9" i="19" s="1"/>
  <c r="AX11" i="19"/>
  <c r="BB11" i="19" s="1"/>
  <c r="AX12" i="19"/>
  <c r="BB12" i="19" s="1"/>
  <c r="AX13" i="19"/>
  <c r="BB13" i="19" s="1"/>
  <c r="AX14" i="19"/>
  <c r="BB14" i="19" s="1"/>
  <c r="AX15" i="19"/>
  <c r="BB15" i="19" s="1"/>
  <c r="AX16" i="19"/>
  <c r="BB16" i="19" s="1"/>
  <c r="AX20" i="19"/>
  <c r="BB20" i="19" s="1"/>
  <c r="AX22" i="19"/>
  <c r="BB22" i="19" s="1"/>
  <c r="AX23" i="19"/>
  <c r="BB23" i="19" s="1"/>
  <c r="AX24" i="19"/>
  <c r="BB24" i="19" s="1"/>
  <c r="AX25" i="19"/>
  <c r="BB25" i="19" s="1"/>
  <c r="AX28" i="19"/>
  <c r="BB28" i="19" s="1"/>
  <c r="AX29" i="19"/>
  <c r="BB29" i="19" s="1"/>
  <c r="AX30" i="19"/>
  <c r="BB30" i="19" s="1"/>
  <c r="AX31" i="19"/>
  <c r="BB31" i="19" s="1"/>
  <c r="AX32" i="19"/>
  <c r="BB32" i="19" s="1"/>
  <c r="AX33" i="19"/>
  <c r="BB33" i="19" s="1"/>
  <c r="AX34" i="19"/>
  <c r="BB34" i="19" s="1"/>
  <c r="AX35" i="19"/>
  <c r="BB35" i="19" s="1"/>
  <c r="AX37" i="19"/>
  <c r="BB37" i="19" s="1"/>
  <c r="AX39" i="19"/>
  <c r="BB39" i="19" s="1"/>
  <c r="AX40" i="19"/>
  <c r="BB40" i="19" s="1"/>
  <c r="AX42" i="19"/>
  <c r="BB42" i="19" s="1"/>
  <c r="AX43" i="19"/>
  <c r="BB43" i="19" s="1"/>
  <c r="AX44" i="19"/>
  <c r="BB44" i="19" s="1"/>
  <c r="AX45" i="19"/>
  <c r="BB45" i="19" s="1"/>
  <c r="AX46" i="19"/>
  <c r="BB46" i="19" s="1"/>
  <c r="AX47" i="19"/>
  <c r="BB47" i="19" s="1"/>
  <c r="AX48" i="19"/>
  <c r="BB48" i="19" s="1"/>
  <c r="AX49" i="19"/>
  <c r="BB49" i="19" s="1"/>
  <c r="AX50" i="19"/>
  <c r="BB50" i="19" s="1"/>
  <c r="AX52" i="19"/>
  <c r="BB52" i="19" s="1"/>
  <c r="AX53" i="19"/>
  <c r="BB53" i="19" s="1"/>
  <c r="AX54" i="19"/>
  <c r="BB54" i="19" s="1"/>
  <c r="AX55" i="19"/>
  <c r="BB55" i="19" s="1"/>
  <c r="AX56" i="19"/>
  <c r="BB56" i="19" s="1"/>
  <c r="AX57" i="19"/>
  <c r="BB57" i="19" s="1"/>
  <c r="AX59" i="19"/>
  <c r="BB59" i="19" s="1"/>
  <c r="AX60" i="19"/>
  <c r="BB60" i="19" s="1"/>
  <c r="AX61" i="19"/>
  <c r="BB61" i="19" s="1"/>
  <c r="AW7" i="19"/>
  <c r="BA7" i="19" s="1"/>
  <c r="AX6" i="19"/>
  <c r="BB6" i="19" s="1"/>
  <c r="AW6" i="19"/>
  <c r="BA6" i="19" s="1"/>
  <c r="AX5" i="19"/>
  <c r="BB5" i="19" s="1"/>
  <c r="AW5" i="19"/>
  <c r="BA5" i="19" s="1"/>
  <c r="BB4" i="19"/>
  <c r="BA4" i="19"/>
  <c r="AO8" i="19"/>
  <c r="AM8" i="19"/>
  <c r="AK8" i="19"/>
  <c r="AI8" i="19"/>
  <c r="AG8" i="19"/>
  <c r="AE8" i="19"/>
  <c r="AC8" i="19"/>
  <c r="AA8" i="19"/>
  <c r="Y8" i="19"/>
  <c r="W8" i="19"/>
  <c r="U8" i="19"/>
  <c r="S8" i="19"/>
  <c r="Q8" i="19"/>
  <c r="O8" i="19"/>
  <c r="M8" i="19"/>
  <c r="K8" i="19"/>
  <c r="I8" i="19"/>
  <c r="G8" i="19"/>
  <c r="E8" i="19"/>
  <c r="C8" i="19"/>
  <c r="AQ8" i="19"/>
  <c r="AR8" i="19"/>
  <c r="AS8" i="19"/>
  <c r="AU8" i="19"/>
  <c r="AY8" i="19"/>
  <c r="AW12" i="8"/>
  <c r="BA12" i="8" s="1"/>
  <c r="S26" i="11"/>
  <c r="Q31" i="11"/>
  <c r="Q40" i="11"/>
  <c r="AX18" i="19"/>
  <c r="BB18" i="19" s="1"/>
  <c r="AX21" i="19"/>
  <c r="BB21" i="19" s="1"/>
  <c r="AX10" i="19"/>
  <c r="BB10" i="19" s="1"/>
  <c r="AX36" i="19"/>
  <c r="BB36" i="19" s="1"/>
  <c r="AW8" i="8"/>
  <c r="BA8" i="8" s="1"/>
  <c r="AU26" i="11"/>
  <c r="AG26" i="11"/>
  <c r="AC26" i="11"/>
  <c r="AA26" i="11"/>
  <c r="I26" i="11"/>
  <c r="AX41" i="19"/>
  <c r="BB41" i="19" s="1"/>
  <c r="AX27" i="19"/>
  <c r="BB27" i="19" s="1"/>
  <c r="AZ8" i="19"/>
  <c r="F8" i="19"/>
  <c r="H8" i="19"/>
  <c r="J8" i="19"/>
  <c r="L8" i="19"/>
  <c r="N8" i="19"/>
  <c r="P8" i="19"/>
  <c r="R8" i="19"/>
  <c r="T8" i="19"/>
  <c r="V8" i="19"/>
  <c r="X8" i="19"/>
  <c r="Z8" i="19"/>
  <c r="AB8" i="19"/>
  <c r="AD8" i="19"/>
  <c r="AF8" i="19"/>
  <c r="AH8" i="19"/>
  <c r="AJ8" i="19"/>
  <c r="AL8" i="19"/>
  <c r="AN8" i="19"/>
  <c r="AP8" i="19"/>
  <c r="AT8" i="19"/>
  <c r="AV8" i="19"/>
  <c r="D8" i="19"/>
  <c r="AU17" i="17"/>
  <c r="AU23" i="17" s="1"/>
  <c r="AK17" i="17"/>
  <c r="AK23" i="17" s="1"/>
  <c r="AM17" i="17"/>
  <c r="AM23" i="17" s="1"/>
  <c r="AO17" i="17"/>
  <c r="AQ17" i="17"/>
  <c r="AQ23" i="17"/>
  <c r="AS17" i="17"/>
  <c r="AS23" i="17" s="1"/>
  <c r="AC17" i="17"/>
  <c r="AC21" i="17" s="1"/>
  <c r="AE17" i="17"/>
  <c r="AG17" i="17"/>
  <c r="AG21" i="17" s="1"/>
  <c r="AI17" i="17"/>
  <c r="AI21" i="17"/>
  <c r="Q17" i="17"/>
  <c r="S17" i="17"/>
  <c r="S21" i="17" s="1"/>
  <c r="U17" i="17"/>
  <c r="U23" i="17" s="1"/>
  <c r="W17" i="17"/>
  <c r="W23" i="17" s="1"/>
  <c r="Y17" i="17"/>
  <c r="Y23" i="17"/>
  <c r="AA17" i="17"/>
  <c r="AA23" i="17" s="1"/>
  <c r="E17" i="17"/>
  <c r="E21" i="17" s="1"/>
  <c r="G17" i="17"/>
  <c r="G21" i="17"/>
  <c r="I17" i="17"/>
  <c r="K17" i="17"/>
  <c r="K23" i="17" s="1"/>
  <c r="M17" i="17"/>
  <c r="M23" i="17"/>
  <c r="O17" i="17"/>
  <c r="O23" i="17"/>
  <c r="C17" i="17"/>
  <c r="AW6" i="7"/>
  <c r="BA6" i="7" s="1"/>
  <c r="AW7" i="7"/>
  <c r="BA7" i="7" s="1"/>
  <c r="AW8" i="7"/>
  <c r="BA8" i="7" s="1"/>
  <c r="AW7" i="5"/>
  <c r="BA7" i="5"/>
  <c r="AW13" i="9"/>
  <c r="BA13" i="9" s="1"/>
  <c r="AY34" i="6"/>
  <c r="AY38" i="6" s="1"/>
  <c r="AX34" i="6"/>
  <c r="AX38" i="6" s="1"/>
  <c r="AX9" i="7"/>
  <c r="AX12" i="7" s="1"/>
  <c r="AX14" i="7" s="1"/>
  <c r="AY9" i="7"/>
  <c r="AY12" i="7"/>
  <c r="AY14" i="7" s="1"/>
  <c r="K38" i="18"/>
  <c r="K42" i="18" s="1"/>
  <c r="K32" i="18"/>
  <c r="K25" i="18"/>
  <c r="K22" i="18"/>
  <c r="K19" i="18"/>
  <c r="K13" i="18"/>
  <c r="U32" i="18"/>
  <c r="U25" i="18"/>
  <c r="AU42" i="18"/>
  <c r="AU32" i="18"/>
  <c r="AU25" i="18"/>
  <c r="AU22" i="18"/>
  <c r="AU19" i="18"/>
  <c r="AU13" i="18"/>
  <c r="AW28" i="8"/>
  <c r="BA28" i="8" s="1"/>
  <c r="AQ42" i="18"/>
  <c r="AQ32" i="18"/>
  <c r="AQ25" i="18"/>
  <c r="AQ22" i="18"/>
  <c r="AI32" i="18"/>
  <c r="AI25" i="18"/>
  <c r="AI22" i="18"/>
  <c r="AI19" i="18"/>
  <c r="AI13" i="18"/>
  <c r="BA6" i="17"/>
  <c r="Y6" i="22"/>
  <c r="AA6" i="22" s="1"/>
  <c r="Y7" i="22"/>
  <c r="AA7" i="22" s="1"/>
  <c r="Y8" i="22"/>
  <c r="AA8" i="22" s="1"/>
  <c r="Y9" i="22"/>
  <c r="AA9" i="22" s="1"/>
  <c r="Y10" i="22"/>
  <c r="AA10" i="22" s="1"/>
  <c r="Y11" i="22"/>
  <c r="AA11" i="22" s="1"/>
  <c r="Y13" i="22"/>
  <c r="AA13" i="22" s="1"/>
  <c r="Y5" i="22"/>
  <c r="AA5" i="22" s="1"/>
  <c r="AQ13" i="18"/>
  <c r="AS13" i="18"/>
  <c r="AS19" i="18" s="1"/>
  <c r="AO42" i="18"/>
  <c r="AO13" i="18"/>
  <c r="AO22" i="18"/>
  <c r="AO25" i="18" s="1"/>
  <c r="AO32" i="18" s="1"/>
  <c r="AK13" i="18"/>
  <c r="AK19" i="18" s="1"/>
  <c r="AK22" i="18" s="1"/>
  <c r="AG13" i="18"/>
  <c r="AG19" i="18" s="1"/>
  <c r="AG22" i="18" s="1"/>
  <c r="AG25" i="18" s="1"/>
  <c r="AG32" i="18" s="1"/>
  <c r="AE42" i="18"/>
  <c r="AE13" i="18"/>
  <c r="AE22" i="18" s="1"/>
  <c r="AE25" i="18" s="1"/>
  <c r="AE32" i="18" s="1"/>
  <c r="AC13" i="18"/>
  <c r="AC19" i="18"/>
  <c r="AC22" i="18" s="1"/>
  <c r="AC25" i="18" s="1"/>
  <c r="AC32" i="18" s="1"/>
  <c r="AC42" i="18"/>
  <c r="W42" i="18"/>
  <c r="Y13" i="18"/>
  <c r="Y19" i="18"/>
  <c r="AA13" i="18"/>
  <c r="AA19" i="18" s="1"/>
  <c r="AA22" i="18" s="1"/>
  <c r="AA25" i="18" s="1"/>
  <c r="AA32" i="18" s="1"/>
  <c r="AA42" i="18"/>
  <c r="W13" i="18"/>
  <c r="W22" i="18"/>
  <c r="W25" i="18" s="1"/>
  <c r="W32" i="18" s="1"/>
  <c r="Q20" i="18"/>
  <c r="Q19" i="18"/>
  <c r="O25" i="18"/>
  <c r="O32" i="18" s="1"/>
  <c r="O22" i="18"/>
  <c r="O13" i="18"/>
  <c r="Q25" i="18"/>
  <c r="Q32" i="18"/>
  <c r="S13" i="18"/>
  <c r="S22" i="18" s="1"/>
  <c r="S25" i="18" s="1"/>
  <c r="S32" i="18" s="1"/>
  <c r="S42" i="18"/>
  <c r="U42" i="18"/>
  <c r="Y42" i="18"/>
  <c r="AG42" i="18"/>
  <c r="AI42" i="18"/>
  <c r="AK42" i="18"/>
  <c r="AM42" i="18"/>
  <c r="M42" i="18"/>
  <c r="M13" i="18"/>
  <c r="E22" i="18"/>
  <c r="E25" i="18" s="1"/>
  <c r="E32" i="18" s="1"/>
  <c r="E38" i="18" s="1"/>
  <c r="E13" i="18"/>
  <c r="G42" i="18"/>
  <c r="Y4" i="23"/>
  <c r="AA4" i="23" s="1"/>
  <c r="F14" i="22"/>
  <c r="G14" i="22"/>
  <c r="H14" i="22"/>
  <c r="I14" i="22"/>
  <c r="J14" i="22"/>
  <c r="K14" i="22"/>
  <c r="L14" i="22"/>
  <c r="M14" i="22"/>
  <c r="O14" i="22"/>
  <c r="P14" i="22"/>
  <c r="R14" i="22"/>
  <c r="S14" i="22"/>
  <c r="T14" i="22"/>
  <c r="U14" i="22"/>
  <c r="V14" i="22"/>
  <c r="W14" i="22"/>
  <c r="X14" i="22"/>
  <c r="Z14" i="22"/>
  <c r="C14" i="22"/>
  <c r="D14" i="22"/>
  <c r="E14" i="22"/>
  <c r="AV33" i="8"/>
  <c r="AZ33" i="8" s="1"/>
  <c r="AG12" i="11"/>
  <c r="AV10" i="11"/>
  <c r="AZ10" i="11" s="1"/>
  <c r="M40" i="11"/>
  <c r="AV6" i="2"/>
  <c r="AZ6" i="2" s="1"/>
  <c r="AW6" i="2"/>
  <c r="BA6" i="2" s="1"/>
  <c r="AV7" i="2"/>
  <c r="AZ7" i="2" s="1"/>
  <c r="AW7" i="2"/>
  <c r="BA7" i="2" s="1"/>
  <c r="AV8" i="2"/>
  <c r="AZ8" i="2" s="1"/>
  <c r="AW8" i="2"/>
  <c r="BA8" i="2" s="1"/>
  <c r="AV9" i="2"/>
  <c r="AZ9" i="2" s="1"/>
  <c r="AW9" i="2"/>
  <c r="BA9" i="2"/>
  <c r="AV10" i="2"/>
  <c r="AZ10" i="2" s="1"/>
  <c r="AW10" i="2"/>
  <c r="BA10" i="2" s="1"/>
  <c r="AV11" i="2"/>
  <c r="AZ11" i="2" s="1"/>
  <c r="AW11" i="2"/>
  <c r="BA11" i="2" s="1"/>
  <c r="AV13" i="2"/>
  <c r="AZ13" i="2" s="1"/>
  <c r="AW13" i="2"/>
  <c r="BA13" i="2"/>
  <c r="AV5" i="2"/>
  <c r="AZ5" i="2" s="1"/>
  <c r="AW5" i="2"/>
  <c r="BA5" i="2" s="1"/>
  <c r="AW6" i="1"/>
  <c r="BA6" i="1" s="1"/>
  <c r="AW7" i="1"/>
  <c r="BA7" i="1" s="1"/>
  <c r="AW8" i="1"/>
  <c r="BA8" i="1" s="1"/>
  <c r="AW9" i="1"/>
  <c r="BA9" i="1"/>
  <c r="AW10" i="1"/>
  <c r="BA10" i="1" s="1"/>
  <c r="AW11" i="1"/>
  <c r="BA11" i="1"/>
  <c r="AW13" i="1"/>
  <c r="BA13" i="1"/>
  <c r="AV6" i="1"/>
  <c r="AZ6" i="1" s="1"/>
  <c r="AV7" i="1"/>
  <c r="AZ7" i="1" s="1"/>
  <c r="AV8" i="1"/>
  <c r="AZ8" i="1" s="1"/>
  <c r="AV9" i="1"/>
  <c r="AZ9" i="1" s="1"/>
  <c r="AV10" i="1"/>
  <c r="AZ10" i="1" s="1"/>
  <c r="AV11" i="1"/>
  <c r="AZ11" i="1" s="1"/>
  <c r="AV13" i="1"/>
  <c r="AZ13" i="1"/>
  <c r="AW5" i="1"/>
  <c r="BA5" i="1" s="1"/>
  <c r="AV5" i="1"/>
  <c r="AZ5" i="1" s="1"/>
  <c r="X12" i="11"/>
  <c r="AW32" i="8"/>
  <c r="BA32" i="8" s="1"/>
  <c r="AV32" i="8"/>
  <c r="AZ32" i="8" s="1"/>
  <c r="AR34" i="6"/>
  <c r="AR36" i="6" s="1"/>
  <c r="AB12" i="2"/>
  <c r="AB14" i="2" s="1"/>
  <c r="AC12" i="2"/>
  <c r="AC14" i="2"/>
  <c r="AB12" i="1"/>
  <c r="AB14" i="1" s="1"/>
  <c r="AC12" i="1"/>
  <c r="AC14" i="1" s="1"/>
  <c r="AW9" i="8"/>
  <c r="BA9" i="8" s="1"/>
  <c r="AC9" i="7"/>
  <c r="AC12" i="7"/>
  <c r="AC14" i="7" s="1"/>
  <c r="AX19" i="3"/>
  <c r="AX21" i="3" s="1"/>
  <c r="AY19" i="3"/>
  <c r="AY21" i="3" s="1"/>
  <c r="B19" i="3"/>
  <c r="B21" i="3" s="1"/>
  <c r="C19" i="3"/>
  <c r="C21" i="3" s="1"/>
  <c r="D19" i="3"/>
  <c r="D21" i="3" s="1"/>
  <c r="E19" i="3"/>
  <c r="E21" i="3" s="1"/>
  <c r="F19" i="3"/>
  <c r="F21" i="3" s="1"/>
  <c r="G19" i="3"/>
  <c r="G21" i="3" s="1"/>
  <c r="H19" i="3"/>
  <c r="H21" i="3" s="1"/>
  <c r="I19" i="3"/>
  <c r="I21" i="3" s="1"/>
  <c r="J19" i="3"/>
  <c r="J21" i="3" s="1"/>
  <c r="K19" i="3"/>
  <c r="K21" i="3" s="1"/>
  <c r="L19" i="3"/>
  <c r="L21" i="3" s="1"/>
  <c r="M19" i="3"/>
  <c r="M21" i="3" s="1"/>
  <c r="N19" i="3"/>
  <c r="N21" i="3" s="1"/>
  <c r="O19" i="3"/>
  <c r="P19" i="3"/>
  <c r="P21" i="3" s="1"/>
  <c r="Q19" i="3"/>
  <c r="Q21" i="3" s="1"/>
  <c r="R19" i="3"/>
  <c r="R21" i="3" s="1"/>
  <c r="S19" i="3"/>
  <c r="S21" i="3" s="1"/>
  <c r="T19" i="3"/>
  <c r="T21" i="3" s="1"/>
  <c r="U19" i="3"/>
  <c r="U21" i="3" s="1"/>
  <c r="V19" i="3"/>
  <c r="V21" i="3" s="1"/>
  <c r="W19" i="3"/>
  <c r="W21" i="3"/>
  <c r="X21" i="3"/>
  <c r="Y21" i="3"/>
  <c r="Z19" i="3"/>
  <c r="Z21" i="3" s="1"/>
  <c r="AA19" i="3"/>
  <c r="AA21" i="3"/>
  <c r="AB19" i="3"/>
  <c r="AB21" i="3" s="1"/>
  <c r="AC19" i="3"/>
  <c r="AC21" i="3" s="1"/>
  <c r="AD19" i="3"/>
  <c r="AD21" i="3" s="1"/>
  <c r="AE19" i="3"/>
  <c r="AE21" i="3" s="1"/>
  <c r="AF19" i="3"/>
  <c r="AF21" i="3" s="1"/>
  <c r="AG19" i="3"/>
  <c r="AG21" i="3" s="1"/>
  <c r="AH21" i="3"/>
  <c r="AI21" i="3"/>
  <c r="AJ19" i="3"/>
  <c r="AJ21" i="3" s="1"/>
  <c r="AK19" i="3"/>
  <c r="AK21" i="3" s="1"/>
  <c r="AL19" i="3"/>
  <c r="AL21" i="3" s="1"/>
  <c r="AM19" i="3"/>
  <c r="AM21" i="3" s="1"/>
  <c r="AN19" i="3"/>
  <c r="AN21" i="3" s="1"/>
  <c r="AO19" i="3"/>
  <c r="AO21" i="3" s="1"/>
  <c r="AP19" i="3"/>
  <c r="AP21" i="3" s="1"/>
  <c r="AQ19" i="3"/>
  <c r="AQ21" i="3"/>
  <c r="AR19" i="3"/>
  <c r="AR21" i="3" s="1"/>
  <c r="AS19" i="3"/>
  <c r="AS21" i="3"/>
  <c r="AT19" i="3"/>
  <c r="AT21" i="3" s="1"/>
  <c r="AU19" i="3"/>
  <c r="AU21" i="3" s="1"/>
  <c r="AX18" i="4"/>
  <c r="AX20" i="4" s="1"/>
  <c r="AY18" i="4"/>
  <c r="AY20" i="4"/>
  <c r="B18" i="4"/>
  <c r="B20" i="4" s="1"/>
  <c r="C18" i="4"/>
  <c r="D18" i="4"/>
  <c r="E18" i="4"/>
  <c r="F18" i="4"/>
  <c r="F20" i="4" s="1"/>
  <c r="G18" i="4"/>
  <c r="G20" i="4"/>
  <c r="H18" i="4"/>
  <c r="I18" i="4"/>
  <c r="I20" i="4"/>
  <c r="J18" i="4"/>
  <c r="K18" i="4"/>
  <c r="K20" i="4" s="1"/>
  <c r="L18" i="4"/>
  <c r="L20" i="4" s="1"/>
  <c r="M18" i="4"/>
  <c r="M20" i="4"/>
  <c r="N18" i="4"/>
  <c r="N20" i="4" s="1"/>
  <c r="O18" i="4"/>
  <c r="O20" i="4" s="1"/>
  <c r="P18" i="4"/>
  <c r="P20" i="4" s="1"/>
  <c r="Q18" i="4"/>
  <c r="Q20" i="4" s="1"/>
  <c r="AW20" i="4" s="1"/>
  <c r="BA20" i="4" s="1"/>
  <c r="R18" i="4"/>
  <c r="R20" i="4" s="1"/>
  <c r="S18" i="4"/>
  <c r="T18" i="4"/>
  <c r="T20" i="4" s="1"/>
  <c r="U18" i="4"/>
  <c r="U20" i="4" s="1"/>
  <c r="V18" i="4"/>
  <c r="V20" i="4" s="1"/>
  <c r="W18" i="4"/>
  <c r="W20" i="4"/>
  <c r="X20" i="4"/>
  <c r="Y18" i="4"/>
  <c r="Y20" i="4" s="1"/>
  <c r="Z18" i="4"/>
  <c r="Z20" i="4" s="1"/>
  <c r="AA18" i="4"/>
  <c r="AA20" i="4" s="1"/>
  <c r="AB18" i="4"/>
  <c r="AB20" i="4" s="1"/>
  <c r="AC18" i="4"/>
  <c r="AC20" i="4" s="1"/>
  <c r="AD18" i="4"/>
  <c r="AD20" i="4" s="1"/>
  <c r="AE18" i="4"/>
  <c r="AE20" i="4"/>
  <c r="AF18" i="4"/>
  <c r="AF20" i="4" s="1"/>
  <c r="AG18" i="4"/>
  <c r="AG20" i="4" s="1"/>
  <c r="AH18" i="4"/>
  <c r="AH20" i="4" s="1"/>
  <c r="AI18" i="4"/>
  <c r="AI20" i="4"/>
  <c r="AJ18" i="4"/>
  <c r="AJ20" i="4" s="1"/>
  <c r="AK18" i="4"/>
  <c r="AK20" i="4" s="1"/>
  <c r="AL18" i="4"/>
  <c r="AL20" i="4"/>
  <c r="AM18" i="4"/>
  <c r="AM20" i="4"/>
  <c r="AN18" i="4"/>
  <c r="AN20" i="4" s="1"/>
  <c r="AO18" i="4"/>
  <c r="AO20" i="4" s="1"/>
  <c r="AP18" i="4"/>
  <c r="AQ18" i="4"/>
  <c r="AQ20" i="4" s="1"/>
  <c r="AR18" i="4"/>
  <c r="AR20" i="4" s="1"/>
  <c r="AS18" i="4"/>
  <c r="AS20" i="4" s="1"/>
  <c r="AT18" i="4"/>
  <c r="AT20" i="4" s="1"/>
  <c r="AU18" i="4"/>
  <c r="AU20" i="4"/>
  <c r="AX12" i="2"/>
  <c r="AX14" i="2" s="1"/>
  <c r="AY12" i="2"/>
  <c r="AY14" i="2" s="1"/>
  <c r="B12" i="2"/>
  <c r="B14" i="2" s="1"/>
  <c r="C12" i="2"/>
  <c r="D12" i="2"/>
  <c r="D14" i="2" s="1"/>
  <c r="E12" i="2"/>
  <c r="E14" i="2"/>
  <c r="F12" i="2"/>
  <c r="F14" i="2" s="1"/>
  <c r="G12" i="2"/>
  <c r="G14" i="2"/>
  <c r="H12" i="2"/>
  <c r="H14" i="2" s="1"/>
  <c r="I12" i="2"/>
  <c r="I14" i="2"/>
  <c r="J12" i="2"/>
  <c r="J14" i="2" s="1"/>
  <c r="K12" i="2"/>
  <c r="K14" i="2" s="1"/>
  <c r="L12" i="2"/>
  <c r="L14" i="2" s="1"/>
  <c r="M12" i="2"/>
  <c r="N12" i="2"/>
  <c r="N14" i="2" s="1"/>
  <c r="O12" i="2"/>
  <c r="O14" i="2"/>
  <c r="R12" i="2"/>
  <c r="R14" i="2" s="1"/>
  <c r="S12" i="2"/>
  <c r="S14" i="2" s="1"/>
  <c r="T12" i="2"/>
  <c r="T14" i="2" s="1"/>
  <c r="U12" i="2"/>
  <c r="U14" i="2"/>
  <c r="V12" i="2"/>
  <c r="V14" i="2" s="1"/>
  <c r="W12" i="2"/>
  <c r="W14" i="2" s="1"/>
  <c r="X12" i="2"/>
  <c r="X14" i="2" s="1"/>
  <c r="Y12" i="2"/>
  <c r="Y14" i="2"/>
  <c r="Z12" i="2"/>
  <c r="Z14" i="2" s="1"/>
  <c r="AA12" i="2"/>
  <c r="AA14" i="2" s="1"/>
  <c r="P12" i="2"/>
  <c r="Q12" i="2"/>
  <c r="Q14" i="2" s="1"/>
  <c r="AD12" i="2"/>
  <c r="AD14" i="2" s="1"/>
  <c r="AE12" i="2"/>
  <c r="AE14" i="2" s="1"/>
  <c r="AF12" i="2"/>
  <c r="AF14" i="2" s="1"/>
  <c r="AG12" i="2"/>
  <c r="AG14" i="2"/>
  <c r="AH12" i="2"/>
  <c r="AH14" i="2" s="1"/>
  <c r="AI12" i="2"/>
  <c r="AI14" i="2"/>
  <c r="AJ12" i="2"/>
  <c r="AJ14" i="2" s="1"/>
  <c r="AK12" i="2"/>
  <c r="AK14" i="2"/>
  <c r="AL12" i="2"/>
  <c r="AL14" i="2" s="1"/>
  <c r="AM12" i="2"/>
  <c r="AM14" i="2"/>
  <c r="AN12" i="2"/>
  <c r="AN14" i="2" s="1"/>
  <c r="AO12" i="2"/>
  <c r="AO14" i="2"/>
  <c r="AP12" i="2"/>
  <c r="AP14" i="2" s="1"/>
  <c r="AQ12" i="2"/>
  <c r="AQ14" i="2"/>
  <c r="AR12" i="2"/>
  <c r="AR14" i="2" s="1"/>
  <c r="AS12" i="2"/>
  <c r="AS14" i="2" s="1"/>
  <c r="AT12" i="2"/>
  <c r="AT14" i="2" s="1"/>
  <c r="AU12" i="2"/>
  <c r="AU14" i="2" s="1"/>
  <c r="AX12" i="1"/>
  <c r="AX14" i="1" s="1"/>
  <c r="AY12" i="1"/>
  <c r="AY14" i="1" s="1"/>
  <c r="D12" i="1"/>
  <c r="D14" i="1" s="1"/>
  <c r="E12" i="1"/>
  <c r="F12" i="1"/>
  <c r="F14" i="1" s="1"/>
  <c r="G12" i="1"/>
  <c r="G14" i="1"/>
  <c r="H12" i="1"/>
  <c r="H14" i="1" s="1"/>
  <c r="I12" i="1"/>
  <c r="J12" i="1"/>
  <c r="J14" i="1" s="1"/>
  <c r="K12" i="1"/>
  <c r="K14" i="1"/>
  <c r="L12" i="1"/>
  <c r="L14" i="1" s="1"/>
  <c r="M12" i="1"/>
  <c r="M14" i="1" s="1"/>
  <c r="N12" i="1"/>
  <c r="N14" i="1" s="1"/>
  <c r="O12" i="1"/>
  <c r="O14" i="1"/>
  <c r="R12" i="1"/>
  <c r="R14" i="1" s="1"/>
  <c r="S12" i="1"/>
  <c r="S14" i="1" s="1"/>
  <c r="T12" i="1"/>
  <c r="T14" i="1" s="1"/>
  <c r="U12" i="1"/>
  <c r="U14" i="1"/>
  <c r="V12" i="1"/>
  <c r="V14" i="1" s="1"/>
  <c r="W12" i="1"/>
  <c r="W14" i="1" s="1"/>
  <c r="X12" i="1"/>
  <c r="X14" i="1" s="1"/>
  <c r="Y12" i="1"/>
  <c r="Y14" i="1"/>
  <c r="Z12" i="1"/>
  <c r="Z14" i="1" s="1"/>
  <c r="AA12" i="1"/>
  <c r="AA14" i="1" s="1"/>
  <c r="P12" i="1"/>
  <c r="P14" i="1" s="1"/>
  <c r="Q12" i="1"/>
  <c r="Q14" i="1"/>
  <c r="AD12" i="1"/>
  <c r="AD14" i="1" s="1"/>
  <c r="AE12" i="1"/>
  <c r="AE14" i="1" s="1"/>
  <c r="AF12" i="1"/>
  <c r="AG12" i="1"/>
  <c r="AG14" i="1" s="1"/>
  <c r="AH12" i="1"/>
  <c r="AH14" i="1" s="1"/>
  <c r="AI12" i="1"/>
  <c r="AI14" i="1" s="1"/>
  <c r="AJ12" i="1"/>
  <c r="AJ14" i="1" s="1"/>
  <c r="AK12" i="1"/>
  <c r="AK14" i="1"/>
  <c r="AL12" i="1"/>
  <c r="AL14" i="1"/>
  <c r="AM12" i="1"/>
  <c r="AM14" i="1" s="1"/>
  <c r="AN12" i="1"/>
  <c r="AN14" i="1" s="1"/>
  <c r="AO12" i="1"/>
  <c r="AO14" i="1"/>
  <c r="AP12" i="1"/>
  <c r="AP14" i="1" s="1"/>
  <c r="AQ14" i="1"/>
  <c r="AR12" i="1"/>
  <c r="AR14" i="1" s="1"/>
  <c r="AS12" i="1"/>
  <c r="AS14" i="1" s="1"/>
  <c r="AT12" i="1"/>
  <c r="AT14" i="1" s="1"/>
  <c r="AU12" i="1"/>
  <c r="AU14" i="1" s="1"/>
  <c r="B12" i="1"/>
  <c r="C12" i="1"/>
  <c r="C14" i="1" s="1"/>
  <c r="AP34" i="6"/>
  <c r="AP36" i="6" s="1"/>
  <c r="AP38" i="6" s="1"/>
  <c r="AQ34" i="6"/>
  <c r="AQ36" i="6" s="1"/>
  <c r="AQ38" i="6" s="1"/>
  <c r="AL34" i="6"/>
  <c r="AM34" i="6"/>
  <c r="AN34" i="6"/>
  <c r="AN36" i="6" s="1"/>
  <c r="AN38" i="6" s="1"/>
  <c r="AO34" i="6"/>
  <c r="AO36" i="6" s="1"/>
  <c r="AO38" i="6" s="1"/>
  <c r="M9" i="7"/>
  <c r="M12" i="7"/>
  <c r="AN9" i="7"/>
  <c r="AN12" i="7" s="1"/>
  <c r="AN14" i="7" s="1"/>
  <c r="AO9" i="7"/>
  <c r="AO12" i="7"/>
  <c r="AO14" i="7" s="1"/>
  <c r="AP9" i="7"/>
  <c r="AP12" i="7" s="1"/>
  <c r="AP14" i="7" s="1"/>
  <c r="B9" i="7"/>
  <c r="B12" i="7" s="1"/>
  <c r="B14" i="7" s="1"/>
  <c r="C9" i="7"/>
  <c r="C12" i="7"/>
  <c r="AX10" i="5"/>
  <c r="AX14" i="5" s="1"/>
  <c r="AY10" i="5"/>
  <c r="AY12" i="5"/>
  <c r="H10" i="5"/>
  <c r="I10" i="5"/>
  <c r="I12" i="5"/>
  <c r="J10" i="5"/>
  <c r="J14" i="5" s="1"/>
  <c r="K10" i="5"/>
  <c r="K12" i="5" s="1"/>
  <c r="L10" i="5"/>
  <c r="L12" i="5" s="1"/>
  <c r="M10" i="5"/>
  <c r="M14" i="5"/>
  <c r="N10" i="5"/>
  <c r="N14" i="5" s="1"/>
  <c r="O10" i="5"/>
  <c r="O12" i="5" s="1"/>
  <c r="P10" i="5"/>
  <c r="Q10" i="5"/>
  <c r="Q14" i="5" s="1"/>
  <c r="R10" i="5"/>
  <c r="R12" i="5" s="1"/>
  <c r="S10" i="5"/>
  <c r="S14" i="5" s="1"/>
  <c r="S12" i="5"/>
  <c r="T10" i="5"/>
  <c r="T12" i="5" s="1"/>
  <c r="U10" i="5"/>
  <c r="U12" i="5" s="1"/>
  <c r="V10" i="5"/>
  <c r="V12" i="5" s="1"/>
  <c r="W10" i="5"/>
  <c r="W14" i="5"/>
  <c r="X10" i="5"/>
  <c r="X12" i="5" s="1"/>
  <c r="Y10" i="5"/>
  <c r="Y12" i="5" s="1"/>
  <c r="Z10" i="5"/>
  <c r="Z14" i="5" s="1"/>
  <c r="AA10" i="5"/>
  <c r="AA12" i="5"/>
  <c r="AB10" i="5"/>
  <c r="AB14" i="5" s="1"/>
  <c r="AC10" i="5"/>
  <c r="AD10" i="5"/>
  <c r="AD12" i="5" s="1"/>
  <c r="AE10" i="5"/>
  <c r="AE12" i="5"/>
  <c r="AF10" i="5"/>
  <c r="AF14" i="5" s="1"/>
  <c r="AG10" i="5"/>
  <c r="AG14" i="5"/>
  <c r="AH10" i="5"/>
  <c r="AH14" i="5" s="1"/>
  <c r="AI10" i="5"/>
  <c r="AI14" i="5"/>
  <c r="AJ10" i="5"/>
  <c r="AJ14" i="5" s="1"/>
  <c r="AK10" i="5"/>
  <c r="AK14" i="5"/>
  <c r="AL10" i="5"/>
  <c r="AL14" i="5"/>
  <c r="AM10" i="5"/>
  <c r="AM14" i="5"/>
  <c r="AN10" i="5"/>
  <c r="AO10" i="5"/>
  <c r="AO12" i="5"/>
  <c r="AP10" i="5"/>
  <c r="AP14" i="5" s="1"/>
  <c r="AQ10" i="5"/>
  <c r="AQ14" i="5"/>
  <c r="AR10" i="5"/>
  <c r="AS10" i="5"/>
  <c r="AS12" i="5" s="1"/>
  <c r="AT10" i="5"/>
  <c r="AT14" i="5" s="1"/>
  <c r="AU10" i="5"/>
  <c r="AU12" i="5" s="1"/>
  <c r="B10" i="5"/>
  <c r="B12" i="5" s="1"/>
  <c r="C10" i="5"/>
  <c r="D10" i="5"/>
  <c r="D14" i="5" s="1"/>
  <c r="E10" i="5"/>
  <c r="E12" i="5"/>
  <c r="F10" i="5"/>
  <c r="F12" i="5" s="1"/>
  <c r="G10" i="5"/>
  <c r="G14" i="5" s="1"/>
  <c r="AP26" i="11"/>
  <c r="AQ26" i="11"/>
  <c r="AW15" i="9"/>
  <c r="BA15" i="9" s="1"/>
  <c r="AW12" i="9"/>
  <c r="BA12" i="9" s="1"/>
  <c r="AW11" i="9"/>
  <c r="BA11" i="9" s="1"/>
  <c r="AW10" i="9"/>
  <c r="BA10" i="9" s="1"/>
  <c r="AW8" i="9"/>
  <c r="BA8" i="9" s="1"/>
  <c r="AW7" i="9"/>
  <c r="BA7" i="9" s="1"/>
  <c r="AW6" i="9"/>
  <c r="BA6" i="9"/>
  <c r="AW5" i="9"/>
  <c r="BA5" i="9" s="1"/>
  <c r="AM40" i="11"/>
  <c r="AL40" i="11"/>
  <c r="AK40" i="11"/>
  <c r="AI40" i="11"/>
  <c r="S40" i="11"/>
  <c r="K40" i="11"/>
  <c r="G40" i="11"/>
  <c r="E40" i="11"/>
  <c r="AW37" i="11"/>
  <c r="BA37" i="11" s="1"/>
  <c r="AV37" i="11"/>
  <c r="AZ37" i="11" s="1"/>
  <c r="AW36" i="11"/>
  <c r="BA36" i="11"/>
  <c r="AV36" i="11"/>
  <c r="AZ36" i="11" s="1"/>
  <c r="AW35" i="11"/>
  <c r="BA35" i="11"/>
  <c r="AV35" i="11"/>
  <c r="AZ35" i="11" s="1"/>
  <c r="BA34" i="11"/>
  <c r="AV34" i="11"/>
  <c r="AZ34" i="11" s="1"/>
  <c r="AW33" i="11"/>
  <c r="BA33" i="11" s="1"/>
  <c r="AV33" i="11"/>
  <c r="AZ33" i="11" s="1"/>
  <c r="AW32" i="11"/>
  <c r="BA32" i="11"/>
  <c r="AV32" i="11"/>
  <c r="AZ32" i="11" s="1"/>
  <c r="AW30" i="11"/>
  <c r="BA30" i="11"/>
  <c r="AV30" i="11"/>
  <c r="AZ30" i="11" s="1"/>
  <c r="AW29" i="11"/>
  <c r="BA29" i="11"/>
  <c r="AV29" i="11"/>
  <c r="AZ29" i="11" s="1"/>
  <c r="AW28" i="11"/>
  <c r="BA28" i="11" s="1"/>
  <c r="AV28" i="11"/>
  <c r="AZ28" i="11" s="1"/>
  <c r="AW27" i="11"/>
  <c r="BA27" i="11" s="1"/>
  <c r="AV27" i="11"/>
  <c r="AZ27" i="11" s="1"/>
  <c r="AY26" i="11"/>
  <c r="AT26" i="11"/>
  <c r="AO26" i="11"/>
  <c r="AN26" i="11"/>
  <c r="AM26" i="11"/>
  <c r="AL26" i="11"/>
  <c r="AH26" i="11"/>
  <c r="AE26" i="11"/>
  <c r="AD26" i="11"/>
  <c r="AB26" i="11"/>
  <c r="Z26" i="11"/>
  <c r="W26" i="11"/>
  <c r="P26" i="11"/>
  <c r="O26" i="11"/>
  <c r="H26" i="11"/>
  <c r="G26" i="11"/>
  <c r="F26" i="11"/>
  <c r="E26" i="11"/>
  <c r="D26" i="11"/>
  <c r="C26" i="11"/>
  <c r="AW24" i="11"/>
  <c r="BA24" i="11" s="1"/>
  <c r="AV24" i="11"/>
  <c r="AZ24" i="11" s="1"/>
  <c r="AW23" i="11"/>
  <c r="BA23" i="11" s="1"/>
  <c r="AV23" i="11"/>
  <c r="AZ23" i="11" s="1"/>
  <c r="AW22" i="11"/>
  <c r="BA22" i="11"/>
  <c r="AV22" i="11"/>
  <c r="AZ22" i="11" s="1"/>
  <c r="AW20" i="11"/>
  <c r="BA20" i="11" s="1"/>
  <c r="AV20" i="11"/>
  <c r="AZ20" i="11" s="1"/>
  <c r="AW19" i="11"/>
  <c r="BA19" i="11" s="1"/>
  <c r="AV19" i="11"/>
  <c r="AZ19" i="11" s="1"/>
  <c r="U26" i="11"/>
  <c r="AW17" i="11"/>
  <c r="BA17" i="11" s="1"/>
  <c r="AV17" i="11"/>
  <c r="AZ17" i="11" s="1"/>
  <c r="AW16" i="11"/>
  <c r="BA16" i="11" s="1"/>
  <c r="AV16" i="11"/>
  <c r="AZ16" i="11" s="1"/>
  <c r="AW15" i="11"/>
  <c r="BA15" i="11" s="1"/>
  <c r="AV15" i="11"/>
  <c r="AZ15" i="11" s="1"/>
  <c r="AW14" i="11"/>
  <c r="BA14" i="11" s="1"/>
  <c r="AV14" i="11"/>
  <c r="AZ14" i="11" s="1"/>
  <c r="AY12" i="11"/>
  <c r="AX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E12" i="11"/>
  <c r="AD12" i="11"/>
  <c r="AC12" i="11"/>
  <c r="AB12" i="11"/>
  <c r="AA12" i="11"/>
  <c r="Y12" i="11"/>
  <c r="W12" i="11"/>
  <c r="V12" i="11"/>
  <c r="U12" i="11"/>
  <c r="T12" i="11"/>
  <c r="S12" i="11"/>
  <c r="R12" i="11"/>
  <c r="Q12" i="11"/>
  <c r="P12" i="11"/>
  <c r="O12" i="11"/>
  <c r="N12" i="11"/>
  <c r="K12" i="11"/>
  <c r="J12" i="11"/>
  <c r="I12" i="11"/>
  <c r="H12" i="11"/>
  <c r="G12" i="11"/>
  <c r="F12" i="11"/>
  <c r="E12" i="11"/>
  <c r="D12" i="11"/>
  <c r="C12" i="11"/>
  <c r="B12" i="11"/>
  <c r="AW11" i="11"/>
  <c r="BA11" i="11" s="1"/>
  <c r="Z12" i="11"/>
  <c r="AW9" i="11"/>
  <c r="BA9" i="11" s="1"/>
  <c r="AV9" i="11"/>
  <c r="AZ9" i="11" s="1"/>
  <c r="AW8" i="11"/>
  <c r="BA8" i="11" s="1"/>
  <c r="AV8" i="11"/>
  <c r="AZ8" i="11" s="1"/>
  <c r="AW7" i="11"/>
  <c r="BA7" i="11" s="1"/>
  <c r="AV7" i="11"/>
  <c r="AZ7" i="11" s="1"/>
  <c r="AW6" i="11"/>
  <c r="BA6" i="11"/>
  <c r="AV6" i="11"/>
  <c r="AZ6" i="11" s="1"/>
  <c r="AV11" i="11"/>
  <c r="AZ11" i="11" s="1"/>
  <c r="AW38" i="8"/>
  <c r="BA38" i="8" s="1"/>
  <c r="AV38" i="8"/>
  <c r="AZ38" i="8" s="1"/>
  <c r="AW37" i="8"/>
  <c r="BA37" i="8" s="1"/>
  <c r="AV37" i="8"/>
  <c r="AZ37" i="8" s="1"/>
  <c r="AW35" i="8"/>
  <c r="AV35" i="8"/>
  <c r="AZ35" i="8" s="1"/>
  <c r="AW34" i="8"/>
  <c r="BA34" i="8" s="1"/>
  <c r="AV34" i="8"/>
  <c r="AZ34" i="8" s="1"/>
  <c r="AW30" i="8"/>
  <c r="BA30" i="8" s="1"/>
  <c r="AV30" i="8"/>
  <c r="AZ30" i="8" s="1"/>
  <c r="AW29" i="8"/>
  <c r="BA29" i="8" s="1"/>
  <c r="AV29" i="8"/>
  <c r="AZ29" i="8" s="1"/>
  <c r="AW27" i="8"/>
  <c r="BA27" i="8" s="1"/>
  <c r="AV27" i="8"/>
  <c r="AZ27" i="8" s="1"/>
  <c r="AW25" i="8"/>
  <c r="BA25" i="8" s="1"/>
  <c r="AV25" i="8"/>
  <c r="AZ25" i="8" s="1"/>
  <c r="AW24" i="8"/>
  <c r="BA24" i="8" s="1"/>
  <c r="AV24" i="8"/>
  <c r="AZ24" i="8" s="1"/>
  <c r="AW23" i="8"/>
  <c r="BA23" i="8" s="1"/>
  <c r="AV23" i="8"/>
  <c r="AZ23" i="8" s="1"/>
  <c r="AW22" i="8"/>
  <c r="BA22" i="8" s="1"/>
  <c r="AV22" i="8"/>
  <c r="AZ22" i="8" s="1"/>
  <c r="AW21" i="8"/>
  <c r="AV21" i="8"/>
  <c r="AZ21" i="8" s="1"/>
  <c r="AW20" i="8"/>
  <c r="BA20" i="8" s="1"/>
  <c r="AV20" i="8"/>
  <c r="AZ20" i="8" s="1"/>
  <c r="AW19" i="8"/>
  <c r="BA19" i="8" s="1"/>
  <c r="AV19" i="8"/>
  <c r="AZ19" i="8" s="1"/>
  <c r="AW18" i="8"/>
  <c r="BA18" i="8" s="1"/>
  <c r="AV18" i="8"/>
  <c r="AZ18" i="8" s="1"/>
  <c r="AW17" i="8"/>
  <c r="BA17" i="8" s="1"/>
  <c r="AV17" i="8"/>
  <c r="AZ17" i="8" s="1"/>
  <c r="AW16" i="8"/>
  <c r="BA16" i="8" s="1"/>
  <c r="AV16" i="8"/>
  <c r="AZ16" i="8" s="1"/>
  <c r="AW15" i="8"/>
  <c r="BA15" i="8" s="1"/>
  <c r="AV15" i="8"/>
  <c r="AZ15" i="8" s="1"/>
  <c r="AW14" i="8"/>
  <c r="BA14" i="8" s="1"/>
  <c r="AV14" i="8"/>
  <c r="AZ14" i="8" s="1"/>
  <c r="AW13" i="8"/>
  <c r="BA13" i="8" s="1"/>
  <c r="AV13" i="8"/>
  <c r="AZ13" i="8" s="1"/>
  <c r="AW11" i="8"/>
  <c r="BA11" i="8" s="1"/>
  <c r="AV11" i="8"/>
  <c r="AZ11" i="8" s="1"/>
  <c r="AW10" i="8"/>
  <c r="BA10" i="8" s="1"/>
  <c r="AV10" i="8"/>
  <c r="AZ10" i="8" s="1"/>
  <c r="AW7" i="8"/>
  <c r="BA7" i="8" s="1"/>
  <c r="AV7" i="8"/>
  <c r="AZ7" i="8" s="1"/>
  <c r="AW6" i="8"/>
  <c r="BA6" i="8" s="1"/>
  <c r="AV6" i="8"/>
  <c r="AZ6" i="8" s="1"/>
  <c r="AW5" i="8"/>
  <c r="BA5" i="8" s="1"/>
  <c r="AV5" i="8"/>
  <c r="AZ5" i="8" s="1"/>
  <c r="AY27" i="7"/>
  <c r="AX27" i="7"/>
  <c r="AW26" i="7"/>
  <c r="BA26" i="7"/>
  <c r="AV26" i="7"/>
  <c r="AZ26" i="7" s="1"/>
  <c r="AW25" i="7"/>
  <c r="BA25" i="7" s="1"/>
  <c r="AV25" i="7"/>
  <c r="AZ25" i="7" s="1"/>
  <c r="AW24" i="7"/>
  <c r="BA24" i="7"/>
  <c r="AV24" i="7"/>
  <c r="AZ24" i="7" s="1"/>
  <c r="AW23" i="7"/>
  <c r="BA23" i="7" s="1"/>
  <c r="AV23" i="7"/>
  <c r="AZ23" i="7" s="1"/>
  <c r="AW22" i="7"/>
  <c r="BA22" i="7"/>
  <c r="AV22" i="7"/>
  <c r="AZ22" i="7" s="1"/>
  <c r="AW21" i="7"/>
  <c r="BA21" i="7" s="1"/>
  <c r="AV21" i="7"/>
  <c r="AZ21" i="7" s="1"/>
  <c r="AW20" i="7"/>
  <c r="BA20" i="7"/>
  <c r="AV20" i="7"/>
  <c r="AZ20" i="7" s="1"/>
  <c r="AW19" i="7"/>
  <c r="BA19" i="7" s="1"/>
  <c r="AV19" i="7"/>
  <c r="AZ19" i="7" s="1"/>
  <c r="AW18" i="7"/>
  <c r="BA18" i="7"/>
  <c r="AW17" i="7"/>
  <c r="BA17" i="7" s="1"/>
  <c r="AW16" i="7"/>
  <c r="BA16" i="7" s="1"/>
  <c r="AV16" i="7"/>
  <c r="AZ16" i="7" s="1"/>
  <c r="AW15" i="7"/>
  <c r="BA15" i="7"/>
  <c r="AV15" i="7"/>
  <c r="AZ15" i="7" s="1"/>
  <c r="AW11" i="7"/>
  <c r="BA11" i="7" s="1"/>
  <c r="AV11" i="7"/>
  <c r="AZ11" i="7" s="1"/>
  <c r="AW10" i="7"/>
  <c r="BA10" i="7"/>
  <c r="AV10" i="7"/>
  <c r="AZ10" i="7" s="1"/>
  <c r="AU9" i="7"/>
  <c r="AU12" i="7" s="1"/>
  <c r="AT9" i="7"/>
  <c r="AT12" i="7" s="1"/>
  <c r="AT14" i="7" s="1"/>
  <c r="AS9" i="7"/>
  <c r="AS12" i="7" s="1"/>
  <c r="AS14" i="7" s="1"/>
  <c r="AR9" i="7"/>
  <c r="AR12" i="7" s="1"/>
  <c r="AR14" i="7" s="1"/>
  <c r="AQ9" i="7"/>
  <c r="AQ12" i="7" s="1"/>
  <c r="AQ14" i="7"/>
  <c r="AM9" i="7"/>
  <c r="AL9" i="7"/>
  <c r="AK9" i="7"/>
  <c r="AK12" i="7" s="1"/>
  <c r="AK14" i="7" s="1"/>
  <c r="AJ9" i="7"/>
  <c r="AJ12" i="7" s="1"/>
  <c r="AJ14" i="7" s="1"/>
  <c r="AI9" i="7"/>
  <c r="AI12" i="7" s="1"/>
  <c r="AI14" i="7" s="1"/>
  <c r="AH9" i="7"/>
  <c r="AH12" i="7" s="1"/>
  <c r="AH14" i="7" s="1"/>
  <c r="AG9" i="7"/>
  <c r="AG12" i="7"/>
  <c r="AG14" i="7" s="1"/>
  <c r="AF9" i="7"/>
  <c r="AF12" i="7" s="1"/>
  <c r="AF14" i="7" s="1"/>
  <c r="AE9" i="7"/>
  <c r="AE12" i="7"/>
  <c r="AE14" i="7" s="1"/>
  <c r="AD9" i="7"/>
  <c r="AD12" i="7" s="1"/>
  <c r="AD14" i="7" s="1"/>
  <c r="AB9" i="7"/>
  <c r="AB12" i="7" s="1"/>
  <c r="AB14" i="7" s="1"/>
  <c r="AA9" i="7"/>
  <c r="AA12" i="7" s="1"/>
  <c r="AA14" i="7" s="1"/>
  <c r="Z9" i="7"/>
  <c r="Z12" i="7" s="1"/>
  <c r="Z14" i="7" s="1"/>
  <c r="Y9" i="7"/>
  <c r="Y12" i="7" s="1"/>
  <c r="Y14" i="7" s="1"/>
  <c r="X9" i="7"/>
  <c r="W9" i="7"/>
  <c r="W12" i="7"/>
  <c r="V9" i="7"/>
  <c r="V12" i="7" s="1"/>
  <c r="V14" i="7" s="1"/>
  <c r="U9" i="7"/>
  <c r="U12" i="7" s="1"/>
  <c r="T9" i="7"/>
  <c r="T12" i="7" s="1"/>
  <c r="T14" i="7" s="1"/>
  <c r="S9" i="7"/>
  <c r="S12" i="7"/>
  <c r="R9" i="7"/>
  <c r="R12" i="7" s="1"/>
  <c r="Q9" i="7"/>
  <c r="Q12" i="7" s="1"/>
  <c r="P9" i="7"/>
  <c r="O9" i="7"/>
  <c r="O12" i="7"/>
  <c r="N9" i="7"/>
  <c r="L9" i="7"/>
  <c r="L12" i="7" s="1"/>
  <c r="L14" i="7" s="1"/>
  <c r="K9" i="7"/>
  <c r="K12" i="7" s="1"/>
  <c r="J9" i="7"/>
  <c r="J12" i="7" s="1"/>
  <c r="J14" i="7" s="1"/>
  <c r="I9" i="7"/>
  <c r="I12" i="7"/>
  <c r="H9" i="7"/>
  <c r="H12" i="7" s="1"/>
  <c r="H14" i="7" s="1"/>
  <c r="G9" i="7"/>
  <c r="F9" i="7"/>
  <c r="F12" i="7" s="1"/>
  <c r="F14" i="7" s="1"/>
  <c r="E9" i="7"/>
  <c r="E12" i="7"/>
  <c r="D9" i="7"/>
  <c r="D12" i="7" s="1"/>
  <c r="D14" i="7" s="1"/>
  <c r="AV8" i="7"/>
  <c r="AZ8" i="7" s="1"/>
  <c r="AV7" i="7"/>
  <c r="AZ7" i="7" s="1"/>
  <c r="AV6" i="7"/>
  <c r="AZ6" i="7" s="1"/>
  <c r="AM38" i="6"/>
  <c r="AL38" i="6"/>
  <c r="Y38" i="6"/>
  <c r="X38" i="6"/>
  <c r="AK34" i="6"/>
  <c r="AK36" i="6" s="1"/>
  <c r="AK38" i="6" s="1"/>
  <c r="AJ34" i="6"/>
  <c r="AJ36" i="6" s="1"/>
  <c r="AJ38" i="6" s="1"/>
  <c r="AI34" i="6"/>
  <c r="AI36" i="6"/>
  <c r="AI38" i="6" s="1"/>
  <c r="AH34" i="6"/>
  <c r="AH36" i="6" s="1"/>
  <c r="AH38" i="6" s="1"/>
  <c r="AG34" i="6"/>
  <c r="AG36" i="6" s="1"/>
  <c r="AG38" i="6" s="1"/>
  <c r="AF34" i="6"/>
  <c r="AF36" i="6" s="1"/>
  <c r="AF38" i="6" s="1"/>
  <c r="AE34" i="6"/>
  <c r="AE36" i="6"/>
  <c r="AE38" i="6"/>
  <c r="AD34" i="6"/>
  <c r="AD36" i="6" s="1"/>
  <c r="AD38" i="6" s="1"/>
  <c r="AC34" i="6"/>
  <c r="AC36" i="6"/>
  <c r="AC38" i="6" s="1"/>
  <c r="AB34" i="6"/>
  <c r="AB36" i="6" s="1"/>
  <c r="AB38" i="6" s="1"/>
  <c r="AA34" i="6"/>
  <c r="AA36" i="6"/>
  <c r="AA38" i="6" s="1"/>
  <c r="Z34" i="6"/>
  <c r="Z36" i="6" s="1"/>
  <c r="Z38" i="6" s="1"/>
  <c r="Y34" i="6"/>
  <c r="X34" i="6"/>
  <c r="W34" i="6"/>
  <c r="W36" i="6"/>
  <c r="W38" i="6" s="1"/>
  <c r="V34" i="6"/>
  <c r="V36" i="6" s="1"/>
  <c r="V38" i="6" s="1"/>
  <c r="S34" i="6"/>
  <c r="S36" i="6"/>
  <c r="R34" i="6"/>
  <c r="R36" i="6" s="1"/>
  <c r="R38" i="6" s="1"/>
  <c r="Q34" i="6"/>
  <c r="Q36" i="6"/>
  <c r="P34" i="6"/>
  <c r="P36" i="6" s="1"/>
  <c r="P38" i="6" s="1"/>
  <c r="O34" i="6"/>
  <c r="O36" i="6"/>
  <c r="N34" i="6"/>
  <c r="N36" i="6" s="1"/>
  <c r="N38" i="6" s="1"/>
  <c r="M34" i="6"/>
  <c r="M36" i="6"/>
  <c r="L34" i="6"/>
  <c r="L36" i="6" s="1"/>
  <c r="L38" i="6" s="1"/>
  <c r="K34" i="6"/>
  <c r="K36" i="6"/>
  <c r="K38" i="6" s="1"/>
  <c r="J34" i="6"/>
  <c r="J36" i="6" s="1"/>
  <c r="J38" i="6" s="1"/>
  <c r="H34" i="6"/>
  <c r="H36" i="6" s="1"/>
  <c r="H38" i="6" s="1"/>
  <c r="G34" i="6"/>
  <c r="G36" i="6" s="1"/>
  <c r="G38" i="6" s="1"/>
  <c r="F34" i="6"/>
  <c r="F36" i="6" s="1"/>
  <c r="F38" i="6" s="1"/>
  <c r="E34" i="6"/>
  <c r="D34" i="6"/>
  <c r="D36" i="6" s="1"/>
  <c r="D38" i="6" s="1"/>
  <c r="C34" i="6"/>
  <c r="C36" i="6"/>
  <c r="B34" i="6"/>
  <c r="B36" i="6" s="1"/>
  <c r="B38" i="6" s="1"/>
  <c r="AW30" i="6"/>
  <c r="BA30" i="6" s="1"/>
  <c r="AV30" i="6"/>
  <c r="AZ30" i="6" s="1"/>
  <c r="AW28" i="6"/>
  <c r="BA28" i="6"/>
  <c r="AV28" i="6"/>
  <c r="AZ28" i="6" s="1"/>
  <c r="AV27" i="6"/>
  <c r="AZ27" i="6" s="1"/>
  <c r="AW24" i="6"/>
  <c r="BA24" i="6"/>
  <c r="AV24" i="6"/>
  <c r="AZ24" i="6" s="1"/>
  <c r="AW21" i="6"/>
  <c r="BA21" i="6" s="1"/>
  <c r="AV21" i="6"/>
  <c r="AZ21" i="6" s="1"/>
  <c r="AW20" i="6"/>
  <c r="BA20" i="6"/>
  <c r="AV20" i="6"/>
  <c r="AZ20" i="6" s="1"/>
  <c r="AW19" i="6"/>
  <c r="BA19" i="6" s="1"/>
  <c r="AV19" i="6"/>
  <c r="AZ19" i="6" s="1"/>
  <c r="AW18" i="6"/>
  <c r="BA18" i="6"/>
  <c r="AV18" i="6"/>
  <c r="AZ18" i="6" s="1"/>
  <c r="AW17" i="6"/>
  <c r="BA17" i="6" s="1"/>
  <c r="AV17" i="6"/>
  <c r="AZ17" i="6" s="1"/>
  <c r="AZ16" i="6"/>
  <c r="AW15" i="6"/>
  <c r="BA15" i="6" s="1"/>
  <c r="AV15" i="6"/>
  <c r="AZ15" i="6" s="1"/>
  <c r="AW14" i="6"/>
  <c r="BA14" i="6"/>
  <c r="AV14" i="6"/>
  <c r="AZ14" i="6" s="1"/>
  <c r="AW13" i="6"/>
  <c r="BA13" i="6" s="1"/>
  <c r="AV13" i="6"/>
  <c r="AZ13" i="6" s="1"/>
  <c r="AW12" i="6"/>
  <c r="BA12" i="6"/>
  <c r="AV12" i="6"/>
  <c r="AZ12" i="6" s="1"/>
  <c r="AV11" i="6"/>
  <c r="AZ11" i="6" s="1"/>
  <c r="AW8" i="6"/>
  <c r="BA8" i="6"/>
  <c r="AV8" i="6"/>
  <c r="AZ8" i="6" s="1"/>
  <c r="AW7" i="6"/>
  <c r="BA7" i="6"/>
  <c r="AV7" i="6"/>
  <c r="AZ7" i="6" s="1"/>
  <c r="AW6" i="6"/>
  <c r="BA6" i="6" s="1"/>
  <c r="AV6" i="6"/>
  <c r="AZ6" i="6" s="1"/>
  <c r="AW9" i="5"/>
  <c r="BA9" i="5"/>
  <c r="AV9" i="5"/>
  <c r="AZ9" i="5" s="1"/>
  <c r="AW8" i="5"/>
  <c r="BA8" i="5"/>
  <c r="AV8" i="5"/>
  <c r="AZ8" i="5" s="1"/>
  <c r="AV7" i="5"/>
  <c r="AZ7" i="5" s="1"/>
  <c r="AW19" i="4"/>
  <c r="BA19" i="4" s="1"/>
  <c r="AV19" i="4"/>
  <c r="AZ19" i="4" s="1"/>
  <c r="AW17" i="4"/>
  <c r="BA17" i="4"/>
  <c r="AV17" i="4"/>
  <c r="AZ17" i="4" s="1"/>
  <c r="AW16" i="4"/>
  <c r="BA16" i="4" s="1"/>
  <c r="AV16" i="4"/>
  <c r="AZ16" i="4" s="1"/>
  <c r="AW15" i="4"/>
  <c r="BA15" i="4" s="1"/>
  <c r="AV15" i="4"/>
  <c r="AZ15" i="4" s="1"/>
  <c r="AW14" i="4"/>
  <c r="BA14" i="4" s="1"/>
  <c r="AV14" i="4"/>
  <c r="AZ14" i="4" s="1"/>
  <c r="AW11" i="4"/>
  <c r="BA11" i="4" s="1"/>
  <c r="AV11" i="4"/>
  <c r="AZ11" i="4" s="1"/>
  <c r="AW10" i="4"/>
  <c r="BA10" i="4" s="1"/>
  <c r="AV10" i="4"/>
  <c r="AZ10" i="4" s="1"/>
  <c r="AW9" i="4"/>
  <c r="BA9" i="4"/>
  <c r="AV9" i="4"/>
  <c r="AZ9" i="4" s="1"/>
  <c r="AW8" i="4"/>
  <c r="BA8" i="4" s="1"/>
  <c r="AV8" i="4"/>
  <c r="AZ8" i="4" s="1"/>
  <c r="AW7" i="4"/>
  <c r="BA7" i="4" s="1"/>
  <c r="AV7" i="4"/>
  <c r="AZ7" i="4" s="1"/>
  <c r="AW6" i="4"/>
  <c r="BA6" i="4" s="1"/>
  <c r="AV6" i="4"/>
  <c r="AZ6" i="4" s="1"/>
  <c r="AW5" i="4"/>
  <c r="BA5" i="4" s="1"/>
  <c r="AV5" i="4"/>
  <c r="AZ5" i="4" s="1"/>
  <c r="AW20" i="3"/>
  <c r="BA20" i="3" s="1"/>
  <c r="AV20" i="3"/>
  <c r="AZ20" i="3" s="1"/>
  <c r="AW17" i="3"/>
  <c r="BA17" i="3" s="1"/>
  <c r="AV17" i="3"/>
  <c r="AZ17" i="3" s="1"/>
  <c r="AW16" i="3"/>
  <c r="BA16" i="3" s="1"/>
  <c r="AV16" i="3"/>
  <c r="AZ16" i="3" s="1"/>
  <c r="AW15" i="3"/>
  <c r="BA15" i="3" s="1"/>
  <c r="AV15" i="3"/>
  <c r="AZ15" i="3" s="1"/>
  <c r="AW14" i="3"/>
  <c r="BA14" i="3" s="1"/>
  <c r="AV14" i="3"/>
  <c r="AZ14" i="3" s="1"/>
  <c r="AW11" i="3"/>
  <c r="BA11" i="3" s="1"/>
  <c r="AV11" i="3"/>
  <c r="AZ11" i="3" s="1"/>
  <c r="AW10" i="3"/>
  <c r="BA10" i="3" s="1"/>
  <c r="AV10" i="3"/>
  <c r="AZ10" i="3" s="1"/>
  <c r="AW9" i="3"/>
  <c r="BA9" i="3" s="1"/>
  <c r="AV9" i="3"/>
  <c r="AZ9" i="3" s="1"/>
  <c r="AW8" i="3"/>
  <c r="BA8" i="3" s="1"/>
  <c r="AV8" i="3"/>
  <c r="AZ8" i="3" s="1"/>
  <c r="AW7" i="3"/>
  <c r="BA7" i="3" s="1"/>
  <c r="AV7" i="3"/>
  <c r="AZ7" i="3" s="1"/>
  <c r="AW6" i="3"/>
  <c r="BA6" i="3" s="1"/>
  <c r="AV6" i="3"/>
  <c r="AZ6" i="3" s="1"/>
  <c r="AW5" i="3"/>
  <c r="BA5" i="3" s="1"/>
  <c r="AV5" i="3"/>
  <c r="AZ5" i="3" s="1"/>
  <c r="AW9" i="9"/>
  <c r="BA9" i="9" s="1"/>
  <c r="AV22" i="6"/>
  <c r="AZ22" i="6" s="1"/>
  <c r="AW26" i="8"/>
  <c r="BA26" i="8" s="1"/>
  <c r="AU39" i="8"/>
  <c r="AW33" i="8"/>
  <c r="BA33" i="8" s="1"/>
  <c r="AV8" i="8"/>
  <c r="AZ8" i="8" s="1"/>
  <c r="AW31" i="8"/>
  <c r="BA31" i="8" s="1"/>
  <c r="X14" i="5"/>
  <c r="Z12" i="5"/>
  <c r="V14" i="5"/>
  <c r="AF12" i="11"/>
  <c r="AW10" i="11"/>
  <c r="BA10" i="11" s="1"/>
  <c r="L12" i="11"/>
  <c r="AV5" i="11"/>
  <c r="AZ5" i="11" s="1"/>
  <c r="U40" i="11"/>
  <c r="AW40" i="11"/>
  <c r="AW5" i="11"/>
  <c r="BA5" i="11" s="1"/>
  <c r="M12" i="11"/>
  <c r="I14" i="5"/>
  <c r="O42" i="18"/>
  <c r="C14" i="2"/>
  <c r="AS42" i="18"/>
  <c r="K26" i="11"/>
  <c r="D20" i="4"/>
  <c r="AW27" i="6"/>
  <c r="BA27" i="6" s="1"/>
  <c r="I34" i="6"/>
  <c r="I36" i="6" s="1"/>
  <c r="I38" i="6" s="1"/>
  <c r="P14" i="5"/>
  <c r="P12" i="5"/>
  <c r="AE21" i="17"/>
  <c r="AE23" i="17"/>
  <c r="AC23" i="17"/>
  <c r="D12" i="5"/>
  <c r="AV28" i="8"/>
  <c r="AZ28" i="8" s="1"/>
  <c r="E14" i="5"/>
  <c r="F14" i="5"/>
  <c r="AQ12" i="5"/>
  <c r="E14" i="1"/>
  <c r="S20" i="4"/>
  <c r="B14" i="1"/>
  <c r="AV31" i="11"/>
  <c r="AZ31" i="11" s="1"/>
  <c r="AV26" i="8"/>
  <c r="AZ26" i="8" s="1"/>
  <c r="M26" i="11"/>
  <c r="AT12" i="5"/>
  <c r="AA21" i="17"/>
  <c r="N12" i="5"/>
  <c r="I23" i="17"/>
  <c r="I21" i="17"/>
  <c r="AV36" i="8"/>
  <c r="AZ36" i="8" s="1"/>
  <c r="K21" i="17"/>
  <c r="C21" i="17"/>
  <c r="G23" i="17"/>
  <c r="S23" i="17"/>
  <c r="Y22" i="18"/>
  <c r="Y25" i="18"/>
  <c r="Y32" i="18" s="1"/>
  <c r="R14" i="5"/>
  <c r="J12" i="5"/>
  <c r="AB12" i="5"/>
  <c r="Q12" i="5"/>
  <c r="AL12" i="5"/>
  <c r="C23" i="17"/>
  <c r="AX38" i="19"/>
  <c r="BB38" i="19" s="1"/>
  <c r="H19" i="18"/>
  <c r="M14" i="2"/>
  <c r="M12" i="5"/>
  <c r="AX12" i="5"/>
  <c r="G12" i="5"/>
  <c r="X12" i="7"/>
  <c r="X14" i="7" s="1"/>
  <c r="AV9" i="18"/>
  <c r="AZ9" i="18" s="1"/>
  <c r="AF19" i="18"/>
  <c r="AF32" i="18" s="1"/>
  <c r="AF12" i="5"/>
  <c r="AF14" i="1"/>
  <c r="U14" i="5"/>
  <c r="V26" i="11"/>
  <c r="AV18" i="11"/>
  <c r="AZ18" i="11" s="1"/>
  <c r="N26" i="11"/>
  <c r="AS34" i="6"/>
  <c r="AS36" i="6" s="1"/>
  <c r="AS38" i="6" s="1"/>
  <c r="AW22" i="6"/>
  <c r="BA22" i="6"/>
  <c r="AV12" i="8"/>
  <c r="AZ12" i="8" s="1"/>
  <c r="R39" i="8"/>
  <c r="AR14" i="5"/>
  <c r="AR12" i="5"/>
  <c r="AM12" i="5"/>
  <c r="AT34" i="6"/>
  <c r="AT36" i="6" s="1"/>
  <c r="AT38" i="6" s="1"/>
  <c r="AV10" i="6"/>
  <c r="AZ10" i="6" s="1"/>
  <c r="H12" i="5"/>
  <c r="H14" i="5"/>
  <c r="Z39" i="8"/>
  <c r="AV9" i="8"/>
  <c r="AZ9" i="8" s="1"/>
  <c r="J20" i="4"/>
  <c r="AM21" i="17"/>
  <c r="AI23" i="17"/>
  <c r="AG23" i="17"/>
  <c r="M21" i="17"/>
  <c r="O21" i="17"/>
  <c r="H20" i="4"/>
  <c r="J42" i="18"/>
  <c r="AK12" i="5"/>
  <c r="O14" i="5"/>
  <c r="L14" i="5"/>
  <c r="K14" i="5"/>
  <c r="B14" i="5"/>
  <c r="C20" i="4"/>
  <c r="E20" i="4"/>
  <c r="AW18" i="4"/>
  <c r="BA18" i="4" s="1"/>
  <c r="E36" i="6"/>
  <c r="E38" i="6" s="1"/>
  <c r="E14" i="7"/>
  <c r="AV69" i="27"/>
  <c r="AZ69" i="27" s="1"/>
  <c r="Y8" i="23"/>
  <c r="AA8" i="23" s="1"/>
  <c r="C38" i="6"/>
  <c r="E23" i="17"/>
  <c r="AS21" i="17"/>
  <c r="AU21" i="17"/>
  <c r="J26" i="11"/>
  <c r="AT39" i="8"/>
  <c r="AV31" i="8"/>
  <c r="AZ31" i="8" s="1"/>
  <c r="AU14" i="5"/>
  <c r="B14" i="22"/>
  <c r="Y12" i="22"/>
  <c r="AA12" i="22" s="1"/>
  <c r="L42" i="18"/>
  <c r="M38" i="6"/>
  <c r="BA21" i="8"/>
  <c r="N12" i="7"/>
  <c r="N14" i="7" s="1"/>
  <c r="O38" i="6"/>
  <c r="AW31" i="11"/>
  <c r="BA31" i="11" s="1"/>
  <c r="BA40" i="11" s="1"/>
  <c r="P12" i="7"/>
  <c r="P14" i="7" s="1"/>
  <c r="Q38" i="6"/>
  <c r="Q42" i="18"/>
  <c r="T27" i="7"/>
  <c r="U21" i="17"/>
  <c r="AP12" i="5"/>
  <c r="AJ12" i="5"/>
  <c r="AD14" i="5"/>
  <c r="W12" i="5"/>
  <c r="AY14" i="5"/>
  <c r="AU14" i="7"/>
  <c r="AS14" i="5"/>
  <c r="AO14" i="5"/>
  <c r="AI12" i="5"/>
  <c r="AH12" i="5"/>
  <c r="AG12" i="5"/>
  <c r="AW27" i="7"/>
  <c r="BA27" i="7" s="1"/>
  <c r="AV9" i="7"/>
  <c r="AZ9" i="7" s="1"/>
  <c r="AE14" i="5"/>
  <c r="AW10" i="5"/>
  <c r="BA10" i="5" s="1"/>
  <c r="AC12" i="5"/>
  <c r="AC14" i="5"/>
  <c r="AA14" i="5"/>
  <c r="Y14" i="5"/>
  <c r="S38" i="6"/>
  <c r="AV5" i="27"/>
  <c r="AZ5" i="27" s="1"/>
  <c r="AV13" i="11"/>
  <c r="AZ13" i="11" s="1"/>
  <c r="AQ21" i="17"/>
  <c r="AW17" i="17"/>
  <c r="BA17" i="17" s="1"/>
  <c r="AV25" i="18"/>
  <c r="AZ25" i="18" s="1"/>
  <c r="AW14" i="9"/>
  <c r="BA14" i="9" s="1"/>
  <c r="AO23" i="17"/>
  <c r="AW36" i="8"/>
  <c r="BA36" i="8" s="1"/>
  <c r="AV68" i="27"/>
  <c r="AZ68" i="27" s="1"/>
  <c r="AK26" i="11"/>
  <c r="AW18" i="11"/>
  <c r="BA18" i="11" s="1"/>
  <c r="AW12" i="11"/>
  <c r="BA12" i="11" s="1"/>
  <c r="AW52" i="27"/>
  <c r="BA52" i="27" s="1"/>
  <c r="AW10" i="27"/>
  <c r="BA10" i="27" s="1"/>
  <c r="AK25" i="18"/>
  <c r="AK32" i="18" s="1"/>
  <c r="AW12" i="2"/>
  <c r="BA12" i="2" s="1"/>
  <c r="BA35" i="8"/>
  <c r="AI53" i="27"/>
  <c r="AI26" i="11"/>
  <c r="AW21" i="11"/>
  <c r="BA21" i="11" s="1"/>
  <c r="AW69" i="27" l="1"/>
  <c r="BA69" i="27" s="1"/>
  <c r="AW19" i="19"/>
  <c r="BA19" i="19" s="1"/>
  <c r="AV24" i="27"/>
  <c r="AZ24" i="27" s="1"/>
  <c r="AV21" i="17"/>
  <c r="AZ21" i="17" s="1"/>
  <c r="AZ23" i="17"/>
  <c r="AX13" i="18"/>
  <c r="AX22" i="18" s="1"/>
  <c r="AV14" i="7"/>
  <c r="AV19" i="3"/>
  <c r="AZ19" i="3" s="1"/>
  <c r="AV18" i="4"/>
  <c r="AZ18" i="4" s="1"/>
  <c r="AP20" i="4"/>
  <c r="AV20" i="4" s="1"/>
  <c r="AZ20" i="4" s="1"/>
  <c r="AV12" i="1"/>
  <c r="AZ12" i="1" s="1"/>
  <c r="AV14" i="1"/>
  <c r="AZ14" i="1" s="1"/>
  <c r="AV19" i="18"/>
  <c r="AZ19" i="18" s="1"/>
  <c r="AV22" i="18"/>
  <c r="E42" i="18"/>
  <c r="AW42" i="18" s="1"/>
  <c r="BA42" i="18" s="1"/>
  <c r="AW38" i="18"/>
  <c r="BA38" i="18" s="1"/>
  <c r="AV13" i="18"/>
  <c r="AW13" i="18"/>
  <c r="BA13" i="18" s="1"/>
  <c r="BA10" i="18"/>
  <c r="Y14" i="22"/>
  <c r="AA14" i="22" s="1"/>
  <c r="AV34" i="6"/>
  <c r="AZ34" i="6" s="1"/>
  <c r="AR38" i="6"/>
  <c r="AV38" i="6" s="1"/>
  <c r="AZ38" i="6" s="1"/>
  <c r="AV36" i="6"/>
  <c r="AZ36" i="6" s="1"/>
  <c r="AV39" i="8"/>
  <c r="AZ39" i="8"/>
  <c r="AV27" i="7"/>
  <c r="AZ27" i="7" s="1"/>
  <c r="AV12" i="7"/>
  <c r="AZ12" i="7" s="1"/>
  <c r="T14" i="5"/>
  <c r="AV10" i="5"/>
  <c r="AZ40" i="11"/>
  <c r="AV26" i="11"/>
  <c r="AZ26" i="11" s="1"/>
  <c r="AV12" i="11"/>
  <c r="AZ12" i="11" s="1"/>
  <c r="AW8" i="19"/>
  <c r="BA8" i="19" s="1"/>
  <c r="AW14" i="2"/>
  <c r="BA14" i="2" s="1"/>
  <c r="AW19" i="18"/>
  <c r="BA19" i="18" s="1"/>
  <c r="AS22" i="18"/>
  <c r="AS25" i="18" s="1"/>
  <c r="AS32" i="18" s="1"/>
  <c r="AW39" i="8"/>
  <c r="AW53" i="27"/>
  <c r="BA53" i="27" s="1"/>
  <c r="AX19" i="19"/>
  <c r="BB19" i="19" s="1"/>
  <c r="AV32" i="18"/>
  <c r="AZ32" i="18" s="1"/>
  <c r="AF42" i="18"/>
  <c r="AV42" i="18" s="1"/>
  <c r="AZ42" i="18" s="1"/>
  <c r="BA39" i="8"/>
  <c r="AW21" i="17"/>
  <c r="BA21" i="17" s="1"/>
  <c r="I25" i="18"/>
  <c r="AW22" i="18"/>
  <c r="BA22" i="18" s="1"/>
  <c r="G12" i="7"/>
  <c r="AW9" i="7"/>
  <c r="BA9" i="7" s="1"/>
  <c r="C12" i="5"/>
  <c r="AW12" i="5" s="1"/>
  <c r="BA12" i="5" s="1"/>
  <c r="C14" i="5"/>
  <c r="AW14" i="5" s="1"/>
  <c r="BA14" i="5" s="1"/>
  <c r="P14" i="2"/>
  <c r="AV14" i="2" s="1"/>
  <c r="AZ14" i="2" s="1"/>
  <c r="AV12" i="2"/>
  <c r="AZ12" i="2" s="1"/>
  <c r="AV38" i="18"/>
  <c r="AZ38" i="18" s="1"/>
  <c r="AW10" i="6"/>
  <c r="BA10" i="6" s="1"/>
  <c r="AU34" i="6"/>
  <c r="AU36" i="6" s="1"/>
  <c r="AU38" i="6" s="1"/>
  <c r="AW38" i="6" s="1"/>
  <c r="BA38" i="6" s="1"/>
  <c r="Y26" i="11"/>
  <c r="AW26" i="11" s="1"/>
  <c r="BA26" i="11" s="1"/>
  <c r="AW13" i="11"/>
  <c r="BA13" i="11" s="1"/>
  <c r="Q21" i="17"/>
  <c r="Q23" i="17"/>
  <c r="AW23" i="17" s="1"/>
  <c r="BA23" i="17" s="1"/>
  <c r="AW36" i="6"/>
  <c r="BA36" i="6" s="1"/>
  <c r="AV40" i="11"/>
  <c r="AN12" i="5"/>
  <c r="AV12" i="5" s="1"/>
  <c r="AZ12" i="5" s="1"/>
  <c r="AN14" i="5"/>
  <c r="AV52" i="27"/>
  <c r="AZ52" i="27" s="1"/>
  <c r="AV53" i="27"/>
  <c r="AZ53" i="27" s="1"/>
  <c r="I14" i="1"/>
  <c r="AW14" i="1" s="1"/>
  <c r="BA14" i="1" s="1"/>
  <c r="AW12" i="1"/>
  <c r="BA12" i="1" s="1"/>
  <c r="O21" i="3"/>
  <c r="AW21" i="3" s="1"/>
  <c r="BA21" i="3" s="1"/>
  <c r="AW19" i="3"/>
  <c r="BA19" i="3" s="1"/>
  <c r="AV21" i="11"/>
  <c r="AZ21" i="11" s="1"/>
  <c r="AV21" i="3"/>
  <c r="AZ21" i="3" s="1"/>
  <c r="AX8" i="19"/>
  <c r="BB8" i="19" s="1"/>
  <c r="AZ22" i="18" l="1"/>
  <c r="AZ13" i="18"/>
  <c r="AV14" i="5"/>
  <c r="AZ14" i="5" s="1"/>
  <c r="AW34" i="6"/>
  <c r="BA34" i="6" s="1"/>
  <c r="AW12" i="7"/>
  <c r="BA12" i="7" s="1"/>
  <c r="G14" i="7"/>
  <c r="AW14" i="7" s="1"/>
  <c r="I32" i="18"/>
  <c r="AW32" i="18" s="1"/>
  <c r="BA32" i="18" s="1"/>
  <c r="AW25" i="18"/>
  <c r="BA25" i="18" s="1"/>
</calcChain>
</file>

<file path=xl/sharedStrings.xml><?xml version="1.0" encoding="utf-8"?>
<sst xmlns="http://schemas.openxmlformats.org/spreadsheetml/2006/main" count="1735" uniqueCount="445">
  <si>
    <t>Particulars</t>
  </si>
  <si>
    <t>Private Total</t>
  </si>
  <si>
    <t>Grand Total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</si>
  <si>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</si>
  <si>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</si>
  <si>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</si>
  <si>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</si>
  <si>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</si>
  <si>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</si>
  <si>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Others (only)</t>
  </si>
  <si>
    <t>Total(A)</t>
  </si>
  <si>
    <t>Referral  (B)</t>
  </si>
  <si>
    <t>Grand Total (A+B)</t>
  </si>
  <si>
    <t>L37:BUSINESS ACQUISITION THROUGH DIFFERENT CHANNELS (GROUP) Lives</t>
  </si>
  <si>
    <t>Channels</t>
  </si>
  <si>
    <t>CSC</t>
  </si>
  <si>
    <t>POS</t>
  </si>
  <si>
    <t>IMF</t>
  </si>
  <si>
    <t>Online</t>
  </si>
  <si>
    <t>Web Aggregators</t>
  </si>
  <si>
    <t>Total (A)</t>
  </si>
  <si>
    <t>Premiums earned - Net</t>
  </si>
  <si>
    <t>(a) Premium</t>
  </si>
  <si>
    <t>Direct   -  First year premiums</t>
  </si>
  <si>
    <t xml:space="preserve">           -  Renewal premiums</t>
  </si>
  <si>
    <t xml:space="preserve">           -  Single premiums</t>
  </si>
  <si>
    <t>Total premium</t>
  </si>
  <si>
    <t>Premium Income from business written:</t>
  </si>
  <si>
    <t>- In India</t>
  </si>
  <si>
    <t>- Outside India</t>
  </si>
  <si>
    <t>Insurance claims</t>
  </si>
  <si>
    <t>(a) Claims by death</t>
  </si>
  <si>
    <t>(b) Claims by maturity</t>
  </si>
  <si>
    <t>(c) Annuities  /  Pension payment</t>
  </si>
  <si>
    <t>(d) Others</t>
  </si>
  <si>
    <t>Survival Benefits</t>
  </si>
  <si>
    <t xml:space="preserve">- Surrender </t>
  </si>
  <si>
    <t xml:space="preserve">- Discontinuance/Lapsed Termination </t>
  </si>
  <si>
    <t xml:space="preserve">- Withdrawals </t>
  </si>
  <si>
    <t xml:space="preserve">- Rider </t>
  </si>
  <si>
    <t xml:space="preserve">- Health </t>
  </si>
  <si>
    <t>Lumpsum Benefit/Income Benefit(Installment)</t>
  </si>
  <si>
    <t>Bonus to Policyholders</t>
  </si>
  <si>
    <t>Vesting of pension policy</t>
  </si>
  <si>
    <t>Waiver of Premium</t>
  </si>
  <si>
    <t xml:space="preserve">- Interest on unclaimed amounts  </t>
  </si>
  <si>
    <t>Claim Investigation Fees</t>
  </si>
  <si>
    <t xml:space="preserve">- Others </t>
  </si>
  <si>
    <t>(Amount ceded in reinsurance)</t>
  </si>
  <si>
    <t>(c) Annuities  /  pension payment</t>
  </si>
  <si>
    <t>(d) Other benefits/Health</t>
  </si>
  <si>
    <t>(e) Riders</t>
  </si>
  <si>
    <t>Amount accepted in reinsurance</t>
  </si>
  <si>
    <t>(d) Other benefits</t>
  </si>
  <si>
    <t>Total</t>
  </si>
  <si>
    <t>Benefits paid to Claimants</t>
  </si>
  <si>
    <t>In India</t>
  </si>
  <si>
    <t>Outside India</t>
  </si>
  <si>
    <t>L4:PREMIUM SCHEDULE</t>
  </si>
  <si>
    <t>Commission</t>
  </si>
  <si>
    <t>Direct    -  First year premiums</t>
  </si>
  <si>
    <t xml:space="preserve">              -  Renewal premiums</t>
  </si>
  <si>
    <t xml:space="preserve">              -  Single premiums</t>
  </si>
  <si>
    <t>Add: Commission on Re-insurance accepted</t>
  </si>
  <si>
    <t>Less: Commission on Re-insurance ceded</t>
  </si>
  <si>
    <t xml:space="preserve">Break-up of the commission expenses (Gross) </t>
  </si>
  <si>
    <t>incurred to procure business:</t>
  </si>
  <si>
    <t>Agents</t>
  </si>
  <si>
    <t>Corporate agency</t>
  </si>
  <si>
    <t>Bancassurance</t>
  </si>
  <si>
    <t>Micro Insurance Agent</t>
  </si>
  <si>
    <t>Web Aggregator</t>
  </si>
  <si>
    <t>Referral</t>
  </si>
  <si>
    <t>Others</t>
  </si>
  <si>
    <t xml:space="preserve">Employees' remuneration &amp; welfare benefits </t>
  </si>
  <si>
    <t>Travel, conveyance and vehicle running expenses</t>
  </si>
  <si>
    <t>Training expenses</t>
  </si>
  <si>
    <t xml:space="preserve">Rent, rates &amp; taxes </t>
  </si>
  <si>
    <t>Repairs</t>
  </si>
  <si>
    <t>Printing &amp; stationery</t>
  </si>
  <si>
    <t>Communication expenses</t>
  </si>
  <si>
    <t>Legal &amp; professional charges</t>
  </si>
  <si>
    <t>Medical fees</t>
  </si>
  <si>
    <t>Auditors' fees,expenses,etc.</t>
  </si>
  <si>
    <t>(a) as auditor</t>
  </si>
  <si>
    <t>(b) as adviser or in any other capacity,in respect of</t>
  </si>
  <si>
    <t xml:space="preserve">      (i) Taxation matters</t>
  </si>
  <si>
    <t xml:space="preserve">      (ii) Insurance matters</t>
  </si>
  <si>
    <t xml:space="preserve">      (iii)Management services; certification fee</t>
  </si>
  <si>
    <t>(c) in any other capacity</t>
  </si>
  <si>
    <t xml:space="preserve">(d) Out of pocket expenses </t>
  </si>
  <si>
    <t>Advertisement, Publicity and marketing</t>
  </si>
  <si>
    <t>Interest &amp; bank charges</t>
  </si>
  <si>
    <t xml:space="preserve">Agent Recruitment expenses </t>
  </si>
  <si>
    <t>Information technology expenses</t>
  </si>
  <si>
    <t>Goods and Service Tax/ Service Tax</t>
  </si>
  <si>
    <t>Stamp duty on policies</t>
  </si>
  <si>
    <t>Depreciation</t>
  </si>
  <si>
    <t>(Profit)/Loss on sale of Assests</t>
  </si>
  <si>
    <t>Distribution Expenses</t>
  </si>
  <si>
    <t>Business promotion expenses</t>
  </si>
  <si>
    <t>Business Processing Services</t>
  </si>
  <si>
    <t xml:space="preserve">Office Expenses </t>
  </si>
  <si>
    <t>Electricity</t>
  </si>
  <si>
    <t xml:space="preserve">Recruitment expenses </t>
  </si>
  <si>
    <t>Other expenses</t>
  </si>
  <si>
    <t>outsourcing expenses</t>
  </si>
  <si>
    <t>Contribution from Sharehoders Account towards Expense of Management</t>
  </si>
  <si>
    <t>L-32:SOLVENCY MARGIN</t>
  </si>
  <si>
    <t>Description</t>
  </si>
  <si>
    <t>Available Assets in Policyholders' Fund:</t>
  </si>
  <si>
    <t>Deduct:</t>
  </si>
  <si>
    <t xml:space="preserve">Mathematical Reserves </t>
  </si>
  <si>
    <t xml:space="preserve">Other Liabilities </t>
  </si>
  <si>
    <t xml:space="preserve">Available Assets in Shareholders Fund: </t>
  </si>
  <si>
    <t>Other Liabilities of shareholders' fund</t>
  </si>
  <si>
    <t>Total ASM (04)+(07)</t>
  </si>
  <si>
    <t>Total RSM</t>
  </si>
  <si>
    <t>Solvency Ratio (ASM/RSM)</t>
  </si>
  <si>
    <r>
      <rPr>
        <sz val="9"/>
        <rFont val="Comic Sans MS"/>
        <family val="4"/>
      </rPr>
      <t>Surplus/ (Deficit) from Policyholders Accounts</t>
    </r>
  </si>
  <si>
    <r>
      <rPr>
        <sz val="9"/>
        <rFont val="Comic Sans MS"/>
        <family val="4"/>
      </rPr>
      <t>Income from Investments</t>
    </r>
  </si>
  <si>
    <r>
      <rPr>
        <sz val="9"/>
        <rFont val="Comic Sans MS"/>
        <family val="4"/>
      </rPr>
      <t>(a) Interest, Dividend &amp; Rent -  Gross</t>
    </r>
  </si>
  <si>
    <r>
      <rPr>
        <sz val="9"/>
        <rFont val="Comic Sans MS"/>
        <family val="4"/>
      </rPr>
      <t>(b) Profit on sale / redemption of investments</t>
    </r>
  </si>
  <si>
    <r>
      <rPr>
        <sz val="9"/>
        <rFont val="Comic Sans MS"/>
        <family val="4"/>
      </rPr>
      <t>(c) (Loss on sale / redemption of investments)</t>
    </r>
  </si>
  <si>
    <r>
      <rPr>
        <sz val="9"/>
        <rFont val="Comic Sans MS"/>
        <family val="4"/>
      </rPr>
      <t>(d) Accretion of discount/(amortisation of premium) (net)</t>
    </r>
  </si>
  <si>
    <r>
      <rPr>
        <sz val="9"/>
        <rFont val="Comic Sans MS"/>
        <family val="4"/>
      </rPr>
      <t>Other Income</t>
    </r>
  </si>
  <si>
    <r>
      <rPr>
        <sz val="9"/>
        <rFont val="Comic Sans MS"/>
        <family val="4"/>
      </rPr>
      <t>Expenses other than those directly related to the insurance business</t>
    </r>
  </si>
  <si>
    <r>
      <rPr>
        <sz val="9"/>
        <rFont val="Comic Sans MS"/>
        <family val="4"/>
      </rPr>
      <t>(a) Rates and Taxes</t>
    </r>
  </si>
  <si>
    <r>
      <rPr>
        <sz val="9"/>
        <rFont val="Comic Sans MS"/>
        <family val="4"/>
      </rPr>
      <t>(b) Directors' Sitting Fees</t>
    </r>
  </si>
  <si>
    <r>
      <rPr>
        <sz val="9"/>
        <rFont val="Comic Sans MS"/>
        <family val="4"/>
      </rPr>
      <t>(c) Board Meeting Related Expenses</t>
    </r>
  </si>
  <si>
    <r>
      <rPr>
        <sz val="9"/>
        <rFont val="Comic Sans MS"/>
        <family val="4"/>
      </rPr>
      <t>(d) Depreciation</t>
    </r>
  </si>
  <si>
    <r>
      <rPr>
        <sz val="9"/>
        <rFont val="Comic Sans MS"/>
        <family val="4"/>
      </rPr>
      <t>(e) Other expenses</t>
    </r>
  </si>
  <si>
    <r>
      <rPr>
        <sz val="9"/>
        <rFont val="Comic Sans MS"/>
        <family val="4"/>
      </rPr>
      <t>(f) Corporate Social Responsibility expenses</t>
    </r>
  </si>
  <si>
    <r>
      <rPr>
        <sz val="9"/>
        <rFont val="Comic Sans MS"/>
        <family val="4"/>
      </rPr>
      <t>Bad debts written off</t>
    </r>
  </si>
  <si>
    <r>
      <rPr>
        <sz val="9"/>
        <rFont val="Comic Sans MS"/>
        <family val="4"/>
      </rPr>
      <t>Contribution to the Policyholders' Fund</t>
    </r>
  </si>
  <si>
    <r>
      <rPr>
        <sz val="9"/>
        <rFont val="Comic Sans MS"/>
        <family val="4"/>
      </rPr>
      <t>Provisions (Other than taxation)</t>
    </r>
  </si>
  <si>
    <r>
      <rPr>
        <sz val="9"/>
        <rFont val="Comic Sans MS"/>
        <family val="4"/>
      </rPr>
      <t>(a) For diminution in the value of investment (net)</t>
    </r>
  </si>
  <si>
    <r>
      <rPr>
        <sz val="9"/>
        <rFont val="Comic Sans MS"/>
        <family val="4"/>
      </rPr>
      <t>(b) Provision for doubtful debts</t>
    </r>
  </si>
  <si>
    <r>
      <rPr>
        <sz val="9"/>
        <rFont val="Comic Sans MS"/>
        <family val="4"/>
      </rPr>
      <t>Profit / (Loss) before tax</t>
    </r>
  </si>
  <si>
    <r>
      <rPr>
        <sz val="9"/>
        <rFont val="Comic Sans MS"/>
        <family val="4"/>
      </rPr>
      <t>Provision for Taxation</t>
    </r>
  </si>
  <si>
    <t>Deferred Tax credit/(charge)</t>
  </si>
  <si>
    <t>APPROPRIATIONS</t>
  </si>
  <si>
    <r>
      <rPr>
        <sz val="9"/>
        <rFont val="Comic Sans MS"/>
        <family val="4"/>
      </rPr>
      <t>(a) Balance at the beginning of the period</t>
    </r>
  </si>
  <si>
    <t>(c) Proposed final/interim dividend</t>
  </si>
  <si>
    <r>
      <rPr>
        <sz val="9"/>
        <rFont val="Comic Sans MS"/>
        <family val="4"/>
      </rPr>
      <t>(d) Dividend distribution tax</t>
    </r>
  </si>
  <si>
    <r>
      <rPr>
        <sz val="9"/>
        <rFont val="Comic Sans MS"/>
        <family val="4"/>
      </rPr>
      <t>(e) Transfer to reserves / other accounts</t>
    </r>
  </si>
  <si>
    <t>Profit / (Loss) carried to the Balance Sheet</t>
  </si>
  <si>
    <r>
      <rPr>
        <b/>
        <sz val="9"/>
        <rFont val="Comic Sans MS"/>
        <family val="4"/>
      </rPr>
      <t>EARNINGS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PER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EQUITY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SHARE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(in</t>
    </r>
    <r>
      <rPr>
        <sz val="9"/>
        <rFont val="Comic Sans MS"/>
        <family val="4"/>
      </rPr>
      <t xml:space="preserve"> `</t>
    </r>
    <r>
      <rPr>
        <b/>
        <sz val="9"/>
        <rFont val="Comic Sans MS"/>
        <family val="4"/>
      </rPr>
      <t>)</t>
    </r>
  </si>
  <si>
    <r>
      <rPr>
        <sz val="9"/>
        <rFont val="Comic Sans MS"/>
        <family val="4"/>
      </rPr>
      <t>(Face Value ` 10/- per share)</t>
    </r>
  </si>
  <si>
    <t>Basic</t>
  </si>
  <si>
    <t>Diluted</t>
  </si>
  <si>
    <t>Cash and bank balances</t>
  </si>
  <si>
    <t>L2:PROFIT &amp; LOSS ACCOUNT</t>
  </si>
  <si>
    <t>L5:COMMISSION SCHEDULE</t>
  </si>
  <si>
    <t>L7:BENEFITS PAID SCHEDULE</t>
  </si>
  <si>
    <t>L6:Operating Expenses Schedule Related to Insurance Business</t>
  </si>
  <si>
    <t>Figures in Crores</t>
  </si>
  <si>
    <t xml:space="preserve">L38:BUSINESS ACQUISITION (Individual) Number of Policies </t>
  </si>
  <si>
    <t>Aditya Birla Sun Life Insurance Company Limited</t>
  </si>
  <si>
    <t>Aegon Life Insurance Company Limited</t>
  </si>
  <si>
    <t>Aviva Life Insurance Company India Private Limited</t>
  </si>
  <si>
    <t>Bajaj Allianz Life Insurance Company Limited</t>
  </si>
  <si>
    <t>Bharti AXA Life Insurance Private Limited</t>
  </si>
  <si>
    <t>Canara HSBC Oriental Bank of Commerce Life Insurance Company Limited</t>
  </si>
  <si>
    <t>Edelweiss Tokio Life Insurance Company Limited</t>
  </si>
  <si>
    <t>Exide life Insurance Company Limited</t>
  </si>
  <si>
    <t>Future Generali India Life Insurance Company Limited</t>
  </si>
  <si>
    <t>HDFC Life Insurance Company Limited</t>
  </si>
  <si>
    <t>ICICI Prudential Life Insurance Company Limited</t>
  </si>
  <si>
    <t>IndiaFirst Life Insurance Company Limited</t>
  </si>
  <si>
    <t>Kotak Mahindra Life Insurance Company Limited</t>
  </si>
  <si>
    <t>Max Life Insurance Company Limited</t>
  </si>
  <si>
    <t>PNB MetLife India Insurance Company Limited</t>
  </si>
  <si>
    <t>Reliance Nippon Life Insurance Company Limited</t>
  </si>
  <si>
    <t>Sahara India Life Insurance Company Limited</t>
  </si>
  <si>
    <t>SBI Life Insurance Company Limited</t>
  </si>
  <si>
    <t>Shriram Life Insurance Company Limited</t>
  </si>
  <si>
    <t>Star Union Dai-ichi Life Insurance Company Limited</t>
  </si>
  <si>
    <t>Tata AIA Life Insurance Company Limited</t>
  </si>
  <si>
    <t>Life Insurance Corporation of India</t>
  </si>
  <si>
    <t xml:space="preserve">Edelweiss Tokio Life Insurance Company Limited </t>
  </si>
  <si>
    <t xml:space="preserve">Excess in  Policyholders' funds </t>
  </si>
  <si>
    <t xml:space="preserve">Excess in Shareholders' funds </t>
  </si>
  <si>
    <t>online</t>
  </si>
  <si>
    <t>Cash (including cheques,drafts and stamps)</t>
  </si>
  <si>
    <t>Bank balances</t>
  </si>
  <si>
    <t xml:space="preserve">          (a) Deposit accounts</t>
  </si>
  <si>
    <t xml:space="preserve">               (aa) Short-term (due within 12 months of the date of Balance Sheet)</t>
  </si>
  <si>
    <t xml:space="preserve">               (bb) Others</t>
  </si>
  <si>
    <t xml:space="preserve">          (b) Current accounts*</t>
  </si>
  <si>
    <t xml:space="preserve">          (c) Others</t>
  </si>
  <si>
    <t xml:space="preserve">          (d) Unclaimed Dividend Accounts </t>
  </si>
  <si>
    <t>Money at call and short notice</t>
  </si>
  <si>
    <t xml:space="preserve">          (a) With banks</t>
  </si>
  <si>
    <t xml:space="preserve">          (b) With other institutions</t>
  </si>
  <si>
    <t xml:space="preserve"> Total</t>
  </si>
  <si>
    <t>Balances with non-scheduled banks included above</t>
  </si>
  <si>
    <t xml:space="preserve">   Total</t>
  </si>
  <si>
    <t>Break-up of cash ( including cheques , drafts and stamps) :</t>
  </si>
  <si>
    <t>Cash in hand</t>
  </si>
  <si>
    <t>Postal franking &amp; Revenue Stamps</t>
  </si>
  <si>
    <t>Cheques in hand</t>
  </si>
  <si>
    <t>(c) Others-Provision</t>
  </si>
  <si>
    <t>SECURITY WISE CLASSIFICATION</t>
  </si>
  <si>
    <t>Secured</t>
  </si>
  <si>
    <t>(a)   On mortgage of property</t>
  </si>
  <si>
    <t xml:space="preserve">          (aa)   In India</t>
  </si>
  <si>
    <t xml:space="preserve">          (bb)  Outside India</t>
  </si>
  <si>
    <t>(b)  On Shares, Bonds, Govt Securities etc</t>
  </si>
  <si>
    <t>(c)  Loans against policies</t>
  </si>
  <si>
    <t>(d)  Others</t>
  </si>
  <si>
    <t>Unsecured</t>
  </si>
  <si>
    <t>BORROWER - WISE CLASSIFICATION</t>
  </si>
  <si>
    <t>(a)  Central and State Governments</t>
  </si>
  <si>
    <t>(b)  Banks and Financial institutions</t>
  </si>
  <si>
    <t>(c )  Subsidiaries</t>
  </si>
  <si>
    <t>(d)  Companies</t>
  </si>
  <si>
    <t>(e)   Loans against policies</t>
  </si>
  <si>
    <t>(f)   Others</t>
  </si>
  <si>
    <t>PERFORMANCE - WISE CLASSIFICATION</t>
  </si>
  <si>
    <t>(a)  Loans classified as standard</t>
  </si>
  <si>
    <t xml:space="preserve">        (aa)  In India</t>
  </si>
  <si>
    <t xml:space="preserve">        (bb) Outside India</t>
  </si>
  <si>
    <t>(b)  Non - standard loans less provisions</t>
  </si>
  <si>
    <t xml:space="preserve">        (bb)  Outside India</t>
  </si>
  <si>
    <t>MATURITY - WISE CLASSIFICATION</t>
  </si>
  <si>
    <t>(a)  Short Term</t>
  </si>
  <si>
    <t>(b)  Long Term</t>
  </si>
  <si>
    <t>L-4</t>
  </si>
  <si>
    <t>(b) Reinsurance ceded</t>
  </si>
  <si>
    <t>(c) Reinsurance accepted</t>
  </si>
  <si>
    <t>SUB - TOTAL</t>
  </si>
  <si>
    <t>Income from investments</t>
  </si>
  <si>
    <t>(a) Interest, Dividends &amp; Rent - Gross</t>
  </si>
  <si>
    <t>(b) Profit on sale / redemption of investments</t>
  </si>
  <si>
    <t>(c) (Loss on sale / redemption of investments)</t>
  </si>
  <si>
    <t>(d) Transfer /Gain on revaluation / change in fair value*</t>
  </si>
  <si>
    <t>(e) Accretion of discount/(amortisation of premium) (Net)</t>
  </si>
  <si>
    <t xml:space="preserve">Other income  </t>
  </si>
  <si>
    <t>(a) Contribution from the Shareholders' A/c</t>
  </si>
  <si>
    <t>(b) Income on unclaimed amount of policyholders</t>
  </si>
  <si>
    <t>(c) Miscellaneous income</t>
  </si>
  <si>
    <t>L-5</t>
  </si>
  <si>
    <t>Operating expenses related to insurance business</t>
  </si>
  <si>
    <t>L-6</t>
  </si>
  <si>
    <t>Provision for doubtful debts</t>
  </si>
  <si>
    <t>Bad debts written off</t>
  </si>
  <si>
    <t>Provision for tax</t>
  </si>
  <si>
    <t xml:space="preserve"> - Income tax</t>
  </si>
  <si>
    <t>Provisions (other than taxation)</t>
  </si>
  <si>
    <t xml:space="preserve">(a) For diminution in the value of investments (Net) </t>
  </si>
  <si>
    <t xml:space="preserve">(b) For standard assets </t>
  </si>
  <si>
    <t>Good and Service Tax charges on charges</t>
  </si>
  <si>
    <t>Total (B)</t>
  </si>
  <si>
    <t>Benefits paid (Net)</t>
  </si>
  <si>
    <t>L-7</t>
  </si>
  <si>
    <t xml:space="preserve">Interim &amp; Terminal bonuses paid </t>
  </si>
  <si>
    <t xml:space="preserve">Change in valuation of liability in respect of life policies </t>
  </si>
  <si>
    <t>(a) Gross**</t>
  </si>
  <si>
    <t>(b) Amount ceded in Re-insurance</t>
  </si>
  <si>
    <t>(c) Amount accepted in Re-insurance</t>
  </si>
  <si>
    <t>(d) Fund reserve</t>
  </si>
  <si>
    <t>(e) Funds for discontinued policies</t>
  </si>
  <si>
    <t>Total (C)</t>
  </si>
  <si>
    <t>SURPLUS/ (DEFICIT) (D) = [(A)-(B)-(C)]</t>
  </si>
  <si>
    <t>Balance of previous year</t>
  </si>
  <si>
    <t>Balance available for appropriation</t>
  </si>
  <si>
    <t>Transfer to Shareholders' account</t>
  </si>
  <si>
    <t xml:space="preserve">Transfer to other reserves </t>
  </si>
  <si>
    <t>Balance being Funds for Future Appropriations</t>
  </si>
  <si>
    <t>Total (D)</t>
  </si>
  <si>
    <t>a) Interim &amp; Terminal bonuses paid</t>
  </si>
  <si>
    <t>b) Allocation of bonus to policyholders</t>
  </si>
  <si>
    <t>c) Surplus shown in the revenue account</t>
  </si>
  <si>
    <t>d) Total Surplus: [(a) + (b) + (c )]</t>
  </si>
  <si>
    <t>Linked</t>
  </si>
  <si>
    <t>Capital reserve</t>
  </si>
  <si>
    <t>Capital redemption reserve</t>
  </si>
  <si>
    <t>Share premium</t>
  </si>
  <si>
    <t>Revaluation reserve</t>
  </si>
  <si>
    <t>General reserves</t>
  </si>
  <si>
    <t>Less : Debit balance in Profit and Loss account, If any</t>
  </si>
  <si>
    <t>Less : Amount utililized for buy-back</t>
  </si>
  <si>
    <t>Catastrophe reserve</t>
  </si>
  <si>
    <t xml:space="preserve">Other reserves </t>
  </si>
  <si>
    <t>Balance of profit in Profit and Loss account</t>
  </si>
  <si>
    <t>Debentures / Bonds</t>
  </si>
  <si>
    <t>Banks</t>
  </si>
  <si>
    <t>Financial institutions</t>
  </si>
  <si>
    <t>Transfer to Balance Sheet being deficit in Revenue Account (Policyholders' account)</t>
  </si>
  <si>
    <t>Expenses in excess of Allowable Expense transferred to Shareholders Account</t>
  </si>
  <si>
    <t>(f) Provision for linked liabilities</t>
  </si>
  <si>
    <r>
      <rPr>
        <b/>
        <sz val="9"/>
        <color indexed="62"/>
        <rFont val="Comic Sans MS"/>
        <family val="4"/>
      </rPr>
      <t>Total</t>
    </r>
    <r>
      <rPr>
        <sz val="9"/>
        <color indexed="62"/>
        <rFont val="Comic Sans MS"/>
        <family val="4"/>
      </rPr>
      <t xml:space="preserve"> </t>
    </r>
    <r>
      <rPr>
        <b/>
        <sz val="9"/>
        <color indexed="62"/>
        <rFont val="Comic Sans MS"/>
        <family val="4"/>
      </rPr>
      <t>(B)</t>
    </r>
  </si>
  <si>
    <r>
      <rPr>
        <b/>
        <sz val="9"/>
        <color indexed="62"/>
        <rFont val="Comic Sans MS"/>
        <family val="4"/>
      </rPr>
      <t>Total</t>
    </r>
    <r>
      <rPr>
        <sz val="9"/>
        <color indexed="62"/>
        <rFont val="Comic Sans MS"/>
        <family val="4"/>
      </rPr>
      <t xml:space="preserve"> </t>
    </r>
    <r>
      <rPr>
        <b/>
        <sz val="9"/>
        <color indexed="62"/>
        <rFont val="Comic Sans MS"/>
        <family val="4"/>
      </rPr>
      <t>(A)</t>
    </r>
  </si>
  <si>
    <t>(g) Appreciation in unclaimed balances</t>
  </si>
  <si>
    <t>-</t>
  </si>
  <si>
    <t>(f) Corporate Social Responsibility expenses</t>
  </si>
  <si>
    <t>(f) Unrealised Gains</t>
  </si>
  <si>
    <t>Transfer from Linked Fund (Lapsed policies)</t>
  </si>
  <si>
    <t>L37:BUSINESS ACQUISITION THROUGH DIFFERENT CHANNELS (GROUP) Premium</t>
  </si>
  <si>
    <t>L38::BUSINESS ACQUISITION THROUGH DIFFERENT CHANNELS (Individual) Premium</t>
  </si>
  <si>
    <t>Provision for Doubtful Debts</t>
  </si>
  <si>
    <t>Provision for Non Standard Loans</t>
  </si>
  <si>
    <t>Provision for Standard Loans</t>
  </si>
  <si>
    <t xml:space="preserve">        Outside India</t>
  </si>
  <si>
    <t xml:space="preserve">        In India</t>
  </si>
  <si>
    <t>Provision for Short Term</t>
  </si>
  <si>
    <t>Provision for Long Term</t>
  </si>
  <si>
    <t>Net Commission including rewards (A+B)</t>
  </si>
  <si>
    <t>Net commission (A)</t>
  </si>
  <si>
    <t>Rewards and/or remuneration to agents, brokers or other intermediaries (B)</t>
  </si>
  <si>
    <t xml:space="preserve">PNB MetLife India Insurance Company Limited </t>
  </si>
  <si>
    <t>Pramerica Life Insurance Company Limited</t>
  </si>
  <si>
    <t xml:space="preserve">Aegon Life Insurance Company Limited </t>
  </si>
  <si>
    <t xml:space="preserve">Bharti AXA Life Insurance Private Limited </t>
  </si>
  <si>
    <t xml:space="preserve">Exide life Insurance Company Limited </t>
  </si>
  <si>
    <t xml:space="preserve">Future Generali India Life Insurance Company Limited </t>
  </si>
  <si>
    <t xml:space="preserve">HDFC Life Insurance Company Limited </t>
  </si>
  <si>
    <t xml:space="preserve">ICICI Prudential Life Insurance Company Limited </t>
  </si>
  <si>
    <t xml:space="preserve">Star Union Dai-ichi Life Insurance Company Limited </t>
  </si>
  <si>
    <t>SOURCES OF FUNDS</t>
  </si>
  <si>
    <t>Shareholders' Funds</t>
  </si>
  <si>
    <r>
      <t xml:space="preserve">Share Capital </t>
    </r>
    <r>
      <rPr>
        <b/>
        <sz val="8"/>
        <color indexed="8"/>
        <rFont val="Comic Sans MS"/>
        <family val="4"/>
      </rPr>
      <t>L8</t>
    </r>
  </si>
  <si>
    <t>Share Application Money pending Allotment</t>
  </si>
  <si>
    <r>
      <t>Reserves And Surplus</t>
    </r>
    <r>
      <rPr>
        <b/>
        <sz val="8"/>
        <color indexed="8"/>
        <rFont val="Comic Sans MS"/>
        <family val="4"/>
      </rPr>
      <t xml:space="preserve"> L10</t>
    </r>
  </si>
  <si>
    <t>Credit/(Debit) Fair Value Change Account (Net)</t>
  </si>
  <si>
    <t>Deferred tax liability</t>
  </si>
  <si>
    <t>Sub-Total</t>
  </si>
  <si>
    <r>
      <t xml:space="preserve">Borrowings </t>
    </r>
    <r>
      <rPr>
        <b/>
        <sz val="8"/>
        <color indexed="8"/>
        <rFont val="Comic Sans MS"/>
        <family val="4"/>
      </rPr>
      <t>L11</t>
    </r>
  </si>
  <si>
    <t>Policyholders' Funds:</t>
  </si>
  <si>
    <t>Revaluation Reserve-Investment Property</t>
  </si>
  <si>
    <t>Non Unit Mathematical reserve</t>
  </si>
  <si>
    <t>Policy Liabilities</t>
  </si>
  <si>
    <t>Surplus on Policy Holder's  A/c</t>
  </si>
  <si>
    <t>Non Linked</t>
  </si>
  <si>
    <t>Insurance Reserves</t>
  </si>
  <si>
    <t>Linked Liabilities</t>
  </si>
  <si>
    <t>Fair value change</t>
  </si>
  <si>
    <t>Provision For Linked Liabilities</t>
  </si>
  <si>
    <t>Credit/(Debit) Fair Value Change A/c (Linked)Change Account (Net)</t>
  </si>
  <si>
    <t>Non Linked Liabilities</t>
  </si>
  <si>
    <t>Funds for Discontinued Policies</t>
  </si>
  <si>
    <t xml:space="preserve">   Discontinued on account of non-payment of premium</t>
  </si>
  <si>
    <t xml:space="preserve">   Others</t>
  </si>
  <si>
    <t>Credit/(Debit) Fair Value Change Account (Linked)</t>
  </si>
  <si>
    <t>Total Linked Liabilities</t>
  </si>
  <si>
    <t>Funds For Future Appropriations</t>
  </si>
  <si>
    <t>TOTAL</t>
  </si>
  <si>
    <t>APPLICATION OF FUNDS</t>
  </si>
  <si>
    <t>Investments</t>
  </si>
  <si>
    <r>
      <t xml:space="preserve">Shareholders' </t>
    </r>
    <r>
      <rPr>
        <b/>
        <sz val="8"/>
        <color indexed="8"/>
        <rFont val="Comic Sans MS"/>
        <family val="4"/>
      </rPr>
      <t xml:space="preserve"> </t>
    </r>
    <r>
      <rPr>
        <b/>
        <sz val="8"/>
        <color indexed="30"/>
        <rFont val="Comic Sans MS"/>
        <family val="4"/>
      </rPr>
      <t>L12</t>
    </r>
  </si>
  <si>
    <r>
      <t xml:space="preserve">Policyholders'  </t>
    </r>
    <r>
      <rPr>
        <b/>
        <sz val="8"/>
        <color indexed="30"/>
        <rFont val="Comic Sans MS"/>
        <family val="4"/>
      </rPr>
      <t>L13</t>
    </r>
  </si>
  <si>
    <r>
      <t>Assets Held To Cover Linked Liabilities</t>
    </r>
    <r>
      <rPr>
        <sz val="8"/>
        <color indexed="30"/>
        <rFont val="Comic Sans MS"/>
        <family val="4"/>
      </rPr>
      <t xml:space="preserve"> </t>
    </r>
    <r>
      <rPr>
        <b/>
        <sz val="8"/>
        <color indexed="30"/>
        <rFont val="Comic Sans MS"/>
        <family val="4"/>
      </rPr>
      <t>L14</t>
    </r>
  </si>
  <si>
    <t>Assets held to cover discontinued funds</t>
  </si>
  <si>
    <r>
      <t>Loans</t>
    </r>
    <r>
      <rPr>
        <b/>
        <sz val="8"/>
        <color indexed="8"/>
        <rFont val="Comic Sans MS"/>
        <family val="4"/>
      </rPr>
      <t xml:space="preserve"> </t>
    </r>
    <r>
      <rPr>
        <b/>
        <sz val="8"/>
        <color indexed="30"/>
        <rFont val="Comic Sans MS"/>
        <family val="4"/>
      </rPr>
      <t>L15</t>
    </r>
  </si>
  <si>
    <r>
      <t xml:space="preserve">Fixed Assets </t>
    </r>
    <r>
      <rPr>
        <b/>
        <sz val="8"/>
        <color indexed="30"/>
        <rFont val="Comic Sans MS"/>
        <family val="4"/>
      </rPr>
      <t>L 16</t>
    </r>
  </si>
  <si>
    <t>Current Assets</t>
  </si>
  <si>
    <t>Deferred Tax Assets</t>
  </si>
  <si>
    <r>
      <t xml:space="preserve">Cash and Bank Balances </t>
    </r>
    <r>
      <rPr>
        <b/>
        <sz val="8"/>
        <color indexed="30"/>
        <rFont val="Comic Sans MS"/>
        <family val="4"/>
      </rPr>
      <t>L17</t>
    </r>
  </si>
  <si>
    <r>
      <t>Advances And Other Assets</t>
    </r>
    <r>
      <rPr>
        <b/>
        <sz val="8"/>
        <color indexed="30"/>
        <rFont val="Comic Sans MS"/>
        <family val="4"/>
      </rPr>
      <t xml:space="preserve"> L18</t>
    </r>
  </si>
  <si>
    <t>Sub-Total (A)</t>
  </si>
  <si>
    <r>
      <t xml:space="preserve">Current Liabilities </t>
    </r>
    <r>
      <rPr>
        <b/>
        <sz val="8"/>
        <color indexed="30"/>
        <rFont val="Comic Sans MS"/>
        <family val="4"/>
      </rPr>
      <t>L19</t>
    </r>
  </si>
  <si>
    <r>
      <t xml:space="preserve">Provisions </t>
    </r>
    <r>
      <rPr>
        <b/>
        <sz val="8"/>
        <color indexed="30"/>
        <rFont val="Comic Sans MS"/>
        <family val="4"/>
      </rPr>
      <t>L20</t>
    </r>
  </si>
  <si>
    <t>Net Current Assets (C) = (A - B)</t>
  </si>
  <si>
    <t xml:space="preserve">Miscellaneous Expenditure </t>
  </si>
  <si>
    <t>(To the extent not written off or adjusted)</t>
  </si>
  <si>
    <t>Debit Balance of Profit and Loss Account</t>
  </si>
  <si>
    <t>Deficit in the Revenue Account (Policyholders' Account)</t>
  </si>
  <si>
    <t>CONTINGENT LIABILITIES</t>
  </si>
  <si>
    <t>Partly paid - up investments</t>
  </si>
  <si>
    <t>Claims, other than against policies, not acknowledged as debts by the Company</t>
  </si>
  <si>
    <t>Underwriting commitments outstanding</t>
  </si>
  <si>
    <t>Guarantees given by or on behalf of the Company</t>
  </si>
  <si>
    <t xml:space="preserve">Statutory demands/ liabilities in dispute, not provided for </t>
  </si>
  <si>
    <t>Reinsurance obligations to the extent not provided for in accounts</t>
  </si>
  <si>
    <t>In relation to Claims against policies</t>
  </si>
  <si>
    <t>(c) Provision for non-standard assests</t>
  </si>
  <si>
    <t>Provision for current tax</t>
  </si>
  <si>
    <r>
      <rPr>
        <b/>
        <sz val="9"/>
        <rFont val="Comic Sans MS"/>
        <family val="4"/>
      </rPr>
      <t>Profit / (Loss) after tax</t>
    </r>
  </si>
  <si>
    <t>.-Current Tax</t>
  </si>
  <si>
    <t>Upto Q4 2021</t>
  </si>
  <si>
    <t>Ageas Federal Life Insurance Company Limited</t>
  </si>
  <si>
    <t xml:space="preserve">Ageas Federal Life Insurance Company Limited </t>
  </si>
  <si>
    <t>Aegas Federal Life Insurance Company Limited</t>
  </si>
  <si>
    <t>(g) Debenture redemption reserve</t>
  </si>
  <si>
    <t>Interest Accrued Written Off</t>
  </si>
  <si>
    <t xml:space="preserve"> Insurer</t>
  </si>
  <si>
    <t xml:space="preserve">Aditya Birla Sun Life Insurance Co. Ltd </t>
  </si>
  <si>
    <t>Aegon Life Insurance Co. Ltd</t>
  </si>
  <si>
    <t>Aviva Life Insurance Co. Ltd</t>
  </si>
  <si>
    <t>Bajaj Allianz Life Insurance Co. Ltd</t>
  </si>
  <si>
    <t>Bharti AXA Life Insurance Co. Ltd</t>
  </si>
  <si>
    <t>Canara HSBC Life Insurance Co. Ltd</t>
  </si>
  <si>
    <t>Pramerica Life Insurance Co. Ltd</t>
  </si>
  <si>
    <t>Edelweiss Tokio Life Insurance Co. Ltd</t>
  </si>
  <si>
    <t>Exide Life Insurance Co. Ltd</t>
  </si>
  <si>
    <t>Future Generali Life Insurance Co. Ltd</t>
  </si>
  <si>
    <t>HDFC Standard Life Insurance Co. Ltd</t>
  </si>
  <si>
    <t>ICICI Prudential Life Insurance Co. Ltd</t>
  </si>
  <si>
    <t>India First Life Insurance Co. Ltd</t>
  </si>
  <si>
    <t>Kotak Mahindra Life Insurance Co. Ltd</t>
  </si>
  <si>
    <t>Max Life Insurance Co. Ltd</t>
  </si>
  <si>
    <t>PNB Met Life Insurance Co. Ltd</t>
  </si>
  <si>
    <t>Reliance Nippon Life Insurance Co. Ltd</t>
  </si>
  <si>
    <t>Sahara India Life Insurance Co. Ltd</t>
  </si>
  <si>
    <t>SBI Life Insurance Co. Ltd</t>
  </si>
  <si>
    <t>Shriram Life Insurance Co. Ltd</t>
  </si>
  <si>
    <t>Star Union Dai-ichi Life Insurance Co. Ltd</t>
  </si>
  <si>
    <t>Tata AIA Life Insurance Co. Ltd</t>
  </si>
  <si>
    <t>LIC of India</t>
  </si>
  <si>
    <t>Ageas Federal Life Insurance Co. Ltd</t>
  </si>
  <si>
    <t>Annualized Premium Basis</t>
  </si>
  <si>
    <t>Policy Basis</t>
  </si>
  <si>
    <t>(c) Ohers-REPOS</t>
  </si>
  <si>
    <t>(d) CBLO</t>
  </si>
  <si>
    <t>13 Month</t>
  </si>
  <si>
    <t>25 Month</t>
  </si>
  <si>
    <t>37 Month</t>
  </si>
  <si>
    <t>49 Month</t>
  </si>
  <si>
    <t>61 Month</t>
  </si>
  <si>
    <t>Upto Q4 2122</t>
  </si>
  <si>
    <t>Online (through company website)</t>
  </si>
  <si>
    <t>others</t>
  </si>
  <si>
    <t>(in Lakh)</t>
  </si>
  <si>
    <t>Adjusted Value March 2022</t>
  </si>
  <si>
    <r>
      <t xml:space="preserve">L3-Balance Sheet </t>
    </r>
    <r>
      <rPr>
        <b/>
        <sz val="10"/>
        <color indexed="8"/>
        <rFont val="Comic Sans MS"/>
        <family val="4"/>
      </rPr>
      <t>(In Lakhs)</t>
    </r>
  </si>
  <si>
    <t>Sub-Total (B)</t>
  </si>
  <si>
    <t>As at 31st March,2022</t>
  </si>
  <si>
    <t>L1:REVENUE ACCOUNT Figures in 'Lakhs'</t>
  </si>
  <si>
    <t>Form L-15-Loans Schedule  (` in 'Lakhs)</t>
  </si>
  <si>
    <t>Form L-10-Reserves and Surplus Schedule(Amount in 'Lakhs)</t>
  </si>
  <si>
    <t>(Amount in 'Lakh)</t>
  </si>
  <si>
    <t>Audited as at 31st March 2022</t>
  </si>
  <si>
    <t>Form L-17-Cash and Bank Balance Schedule (` in 'Lakh)</t>
  </si>
  <si>
    <t>(b) Interim/Final dividend paid during the period</t>
  </si>
  <si>
    <t>Figures in 'Lakh'</t>
  </si>
  <si>
    <t>Form L-11 -Borrowings Schedule  (Amount in 'Lakh)</t>
  </si>
  <si>
    <t>Upto Q4 2223</t>
  </si>
  <si>
    <t>Audited as at 31st March 2023</t>
  </si>
  <si>
    <t>AS at 31.03.2023</t>
  </si>
  <si>
    <t>As at 31st March,2023</t>
  </si>
  <si>
    <t>PERSISTENCY OF LIFE INSURANCE POLICIES (in %) Upto 31st March 2023</t>
  </si>
  <si>
    <t>Adjusted Value March 2022/2023 In Lakhs</t>
  </si>
  <si>
    <t>Adjusted Value March 2023</t>
  </si>
  <si>
    <t>SurPLUS/ (DEFICIT) After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</si>
</sst>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#0"/>
  </numFmts>
  <fonts count="70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9"/>
      <name val="Comic Sans MS"/>
      <family val="4"/>
    </font>
    <font>
      <sz val="10"/>
      <name val="Comic Sans MS"/>
      <family val="4"/>
    </font>
    <font>
      <b/>
      <sz val="9"/>
      <color indexed="62"/>
      <name val="Comic Sans MS"/>
      <family val="4"/>
    </font>
    <font>
      <sz val="9"/>
      <color indexed="62"/>
      <name val="Comic Sans MS"/>
      <family val="4"/>
    </font>
    <font>
      <b/>
      <i/>
      <sz val="9"/>
      <name val="Comic Sans MS"/>
      <family val="4"/>
    </font>
    <font>
      <sz val="11"/>
      <name val="Comic Sans MS"/>
      <family val="4"/>
    </font>
    <font>
      <sz val="8"/>
      <name val="Comic Sans MS"/>
      <family val="4"/>
    </font>
    <font>
      <b/>
      <sz val="8"/>
      <color indexed="8"/>
      <name val="Comic Sans MS"/>
      <family val="4"/>
    </font>
    <font>
      <b/>
      <sz val="8"/>
      <color indexed="30"/>
      <name val="Comic Sans MS"/>
      <family val="4"/>
    </font>
    <font>
      <sz val="8"/>
      <color indexed="30"/>
      <name val="Comic Sans MS"/>
      <family val="4"/>
    </font>
    <font>
      <b/>
      <sz val="10"/>
      <color indexed="8"/>
      <name val="Comic Sans MS"/>
      <family val="4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b/>
      <sz val="9"/>
      <color theme="1"/>
      <name val="Comic Sans MS"/>
      <family val="4"/>
    </font>
    <font>
      <sz val="9"/>
      <color rgb="FF000000"/>
      <name val="Comic Sans MS"/>
      <family val="4"/>
    </font>
    <font>
      <i/>
      <sz val="9"/>
      <color theme="1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sz val="8"/>
      <color rgb="FF000000"/>
      <name val="Comic Sans MS"/>
      <family val="4"/>
    </font>
    <font>
      <b/>
      <sz val="8"/>
      <color theme="1"/>
      <name val="Comic Sans MS"/>
      <family val="4"/>
    </font>
    <font>
      <b/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rgb="FF000000"/>
      <name val="Comic Sans MS"/>
      <family val="4"/>
    </font>
    <font>
      <b/>
      <sz val="9"/>
      <color rgb="FFFF0000"/>
      <name val="Comic Sans MS"/>
      <family val="4"/>
    </font>
    <font>
      <sz val="9"/>
      <color theme="4"/>
      <name val="Comic Sans MS"/>
      <family val="4"/>
    </font>
    <font>
      <b/>
      <sz val="8"/>
      <color theme="4"/>
      <name val="Comic Sans MS"/>
      <family val="4"/>
    </font>
    <font>
      <b/>
      <sz val="9"/>
      <color theme="4"/>
      <name val="Comic Sans MS"/>
      <family val="4"/>
    </font>
    <font>
      <sz val="11"/>
      <color theme="4"/>
      <name val="Comic Sans MS"/>
      <family val="4"/>
    </font>
    <font>
      <b/>
      <sz val="10"/>
      <color theme="4"/>
      <name val="Comic Sans MS"/>
      <family val="4"/>
    </font>
    <font>
      <b/>
      <sz val="11"/>
      <color theme="4"/>
      <name val="Comic Sans MS"/>
      <family val="4"/>
    </font>
    <font>
      <b/>
      <sz val="10"/>
      <color rgb="FF000000"/>
      <name val="Comic Sans MS"/>
      <family val="4"/>
    </font>
    <font>
      <b/>
      <sz val="9"/>
      <color theme="8"/>
      <name val="Comic Sans MS"/>
      <family val="4"/>
    </font>
    <font>
      <sz val="9"/>
      <color theme="8"/>
      <name val="Comic Sans MS"/>
      <family val="4"/>
    </font>
    <font>
      <b/>
      <sz val="8"/>
      <color theme="8"/>
      <name val="Comic Sans MS"/>
      <family val="4"/>
    </font>
    <font>
      <sz val="11"/>
      <color theme="8"/>
      <name val="Comic Sans MS"/>
      <family val="4"/>
    </font>
    <font>
      <sz val="11"/>
      <color theme="8"/>
      <name val="Calibri"/>
      <family val="2"/>
      <scheme val="minor"/>
    </font>
    <font>
      <sz val="8"/>
      <color theme="8"/>
      <name val="Comic Sans MS"/>
      <family val="4"/>
    </font>
    <font>
      <b/>
      <sz val="11"/>
      <color theme="8"/>
      <name val="Comic Sans MS"/>
      <family val="4"/>
    </font>
    <font>
      <b/>
      <sz val="11"/>
      <color theme="1"/>
      <name val="Comic Sans MS"/>
      <family val="4"/>
    </font>
    <font>
      <b/>
      <sz val="10"/>
      <color theme="8"/>
      <name val="Comic Sans MS"/>
      <family val="4"/>
    </font>
    <font>
      <b/>
      <sz val="8"/>
      <color rgb="FF0070C0"/>
      <name val="Comic Sans MS"/>
      <family val="4"/>
    </font>
    <font>
      <sz val="8"/>
      <color rgb="FF0070C0"/>
      <name val="Comic Sans MS"/>
      <family val="4"/>
    </font>
    <font>
      <b/>
      <i/>
      <sz val="9"/>
      <color theme="8"/>
      <name val="Comic Sans MS"/>
      <family val="4"/>
    </font>
    <font>
      <b/>
      <sz val="14"/>
      <color theme="1"/>
      <name val="Comic Sans MS"/>
      <family val="4"/>
    </font>
    <font>
      <sz val="10"/>
      <color rgb="FF000000"/>
      <name val="Comic Sans MS"/>
      <family val="4"/>
    </font>
    <font>
      <b/>
      <sz val="11"/>
      <color rgb="FF0070C0"/>
      <name val="Comic Sans MS"/>
      <family val="4"/>
    </font>
    <font>
      <i/>
      <sz val="8"/>
      <color rgb="FF000000"/>
      <name val="Comic Sans MS"/>
      <family val="4"/>
    </font>
    <font>
      <sz val="8"/>
      <color rgb="FFFF0000"/>
      <name val="Comic Sans MS"/>
      <family val="4"/>
    </font>
    <font>
      <b/>
      <sz val="8"/>
      <color rgb="FFFF0000"/>
      <name val="Comic Sans MS"/>
      <family val="4"/>
    </font>
    <font>
      <b/>
      <sz val="9"/>
      <color rgb="FF0070C0"/>
      <name val="Comic Sans MS"/>
      <family val="4"/>
    </font>
    <font>
      <b/>
      <sz val="10"/>
      <color rgb="FF0070C0"/>
      <name val="Comic Sans MS"/>
      <family val="4"/>
    </font>
    <font>
      <b/>
      <sz val="11"/>
      <color rgb="FF0070C0"/>
      <name val="Calibri"/>
      <family val="2"/>
      <scheme val="minor"/>
    </font>
    <font>
      <sz val="11"/>
      <color rgb="FF0070C0"/>
      <name val="Comic Sans MS"/>
      <family val="4"/>
    </font>
    <font>
      <sz val="11"/>
      <color rgb="FF0070C0"/>
      <name val="Calibri"/>
      <family val="2"/>
      <scheme val="minor"/>
    </font>
    <font>
      <b/>
      <sz val="11"/>
      <color rgb="FFFF0000"/>
      <name val="Comic Sans MS"/>
      <family val="4"/>
    </font>
    <font>
      <sz val="11"/>
      <color rgb="FFFF0000"/>
      <name val="Comic Sans MS"/>
      <family val="4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0"/>
      <color theme="1"/>
      <name val="Comic Sans MS"/>
      <family val="4"/>
    </font>
    <font>
      <b/>
      <sz val="11"/>
      <name val="Comic Sans MS"/>
      <family val="4"/>
    </font>
    <font>
      <b/>
      <sz val="11"/>
      <color rgb="FF002060"/>
      <name val="Comic Sans MS"/>
      <family val="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489">
    <xf numFmtId="0" fontId="0" fillId="0" borderId="0" xfId="0"/>
    <xf numFmtId="2" fontId="18" fillId="0" borderId="1" xfId="0" applyNumberFormat="1" applyFont="1" applyBorder="1" applyAlignment="1">
      <alignment horizontal="left"/>
    </xf>
    <xf numFmtId="2" fontId="18" fillId="0" borderId="2" xfId="0" applyNumberFormat="1" applyFont="1" applyBorder="1" applyAlignment="1">
      <alignment horizontal="left"/>
    </xf>
    <xf numFmtId="2" fontId="18" fillId="0" borderId="3" xfId="0" applyNumberFormat="1" applyFont="1" applyBorder="1" applyAlignment="1">
      <alignment horizontal="left"/>
    </xf>
    <xf numFmtId="2" fontId="18" fillId="0" borderId="2" xfId="2" applyNumberFormat="1" applyFont="1" applyBorder="1" applyAlignment="1">
      <alignment horizontal="left"/>
    </xf>
    <xf numFmtId="2" fontId="18" fillId="0" borderId="3" xfId="2" applyNumberFormat="1" applyFont="1" applyBorder="1" applyAlignment="1">
      <alignment horizontal="left"/>
    </xf>
    <xf numFmtId="2" fontId="19" fillId="0" borderId="1" xfId="0" applyNumberFormat="1" applyFont="1" applyBorder="1" applyAlignment="1">
      <alignment horizontal="left"/>
    </xf>
    <xf numFmtId="2" fontId="19" fillId="0" borderId="2" xfId="0" applyNumberFormat="1" applyFont="1" applyBorder="1" applyAlignment="1">
      <alignment horizontal="left"/>
    </xf>
    <xf numFmtId="2" fontId="19" fillId="0" borderId="3" xfId="0" applyNumberFormat="1" applyFont="1" applyBorder="1" applyAlignment="1">
      <alignment horizontal="left"/>
    </xf>
    <xf numFmtId="0" fontId="18" fillId="0" borderId="0" xfId="0" applyFont="1" applyAlignment="1">
      <alignment horizontal="left"/>
    </xf>
    <xf numFmtId="1" fontId="19" fillId="0" borderId="2" xfId="0" applyNumberFormat="1" applyFont="1" applyBorder="1" applyAlignment="1">
      <alignment horizontal="left" vertical="center"/>
    </xf>
    <xf numFmtId="1" fontId="19" fillId="0" borderId="1" xfId="0" applyNumberFormat="1" applyFont="1" applyBorder="1" applyAlignment="1">
      <alignment horizontal="left" vertical="center"/>
    </xf>
    <xf numFmtId="1" fontId="19" fillId="0" borderId="4" xfId="0" applyNumberFormat="1" applyFont="1" applyBorder="1" applyAlignment="1">
      <alignment horizontal="left" vertical="center"/>
    </xf>
    <xf numFmtId="1" fontId="19" fillId="0" borderId="3" xfId="0" applyNumberFormat="1" applyFont="1" applyBorder="1" applyAlignment="1">
      <alignment horizontal="left" vertical="center"/>
    </xf>
    <xf numFmtId="3" fontId="20" fillId="0" borderId="2" xfId="0" applyNumberFormat="1" applyFont="1" applyBorder="1" applyAlignment="1">
      <alignment horizontal="left"/>
    </xf>
    <xf numFmtId="3" fontId="20" fillId="0" borderId="3" xfId="0" applyNumberFormat="1" applyFont="1" applyBorder="1" applyAlignment="1">
      <alignment horizontal="left"/>
    </xf>
    <xf numFmtId="1" fontId="18" fillId="0" borderId="2" xfId="0" applyNumberFormat="1" applyFont="1" applyBorder="1" applyAlignment="1">
      <alignment horizontal="left"/>
    </xf>
    <xf numFmtId="1" fontId="18" fillId="0" borderId="5" xfId="0" applyNumberFormat="1" applyFont="1" applyBorder="1" applyAlignment="1">
      <alignment horizontal="left"/>
    </xf>
    <xf numFmtId="1" fontId="18" fillId="0" borderId="4" xfId="0" applyNumberFormat="1" applyFont="1" applyBorder="1" applyAlignment="1">
      <alignment horizontal="left"/>
    </xf>
    <xf numFmtId="1" fontId="18" fillId="0" borderId="3" xfId="0" applyNumberFormat="1" applyFont="1" applyBorder="1" applyAlignment="1">
      <alignment horizontal="left"/>
    </xf>
    <xf numFmtId="1" fontId="18" fillId="0" borderId="2" xfId="2" applyNumberFormat="1" applyFont="1" applyBorder="1" applyAlignment="1">
      <alignment horizontal="left"/>
    </xf>
    <xf numFmtId="1" fontId="18" fillId="0" borderId="3" xfId="2" applyNumberFormat="1" applyFont="1" applyBorder="1" applyAlignment="1">
      <alignment horizontal="left"/>
    </xf>
    <xf numFmtId="1" fontId="18" fillId="0" borderId="2" xfId="0" applyNumberFormat="1" applyFont="1" applyFill="1" applyBorder="1" applyAlignment="1">
      <alignment horizontal="left"/>
    </xf>
    <xf numFmtId="1" fontId="18" fillId="0" borderId="3" xfId="0" applyNumberFormat="1" applyFont="1" applyFill="1" applyBorder="1" applyAlignment="1">
      <alignment horizontal="left"/>
    </xf>
    <xf numFmtId="1" fontId="18" fillId="0" borderId="2" xfId="1" applyNumberFormat="1" applyFont="1" applyBorder="1" applyAlignment="1">
      <alignment horizontal="left"/>
    </xf>
    <xf numFmtId="1" fontId="18" fillId="0" borderId="3" xfId="1" applyNumberFormat="1" applyFont="1" applyBorder="1" applyAlignment="1">
      <alignment horizontal="left"/>
    </xf>
    <xf numFmtId="1" fontId="19" fillId="0" borderId="2" xfId="1" applyNumberFormat="1" applyFont="1" applyBorder="1" applyAlignment="1">
      <alignment horizontal="left"/>
    </xf>
    <xf numFmtId="1" fontId="19" fillId="0" borderId="3" xfId="1" applyNumberFormat="1" applyFont="1" applyBorder="1" applyAlignment="1">
      <alignment horizontal="left"/>
    </xf>
    <xf numFmtId="1" fontId="19" fillId="0" borderId="2" xfId="0" applyNumberFormat="1" applyFont="1" applyBorder="1" applyAlignment="1">
      <alignment horizontal="left"/>
    </xf>
    <xf numFmtId="1" fontId="19" fillId="0" borderId="4" xfId="0" applyNumberFormat="1" applyFont="1" applyBorder="1" applyAlignment="1">
      <alignment horizontal="left"/>
    </xf>
    <xf numFmtId="1" fontId="19" fillId="0" borderId="3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1" fontId="18" fillId="0" borderId="0" xfId="0" applyNumberFormat="1" applyFont="1" applyAlignment="1">
      <alignment horizontal="left"/>
    </xf>
    <xf numFmtId="1" fontId="19" fillId="0" borderId="6" xfId="0" applyNumberFormat="1" applyFont="1" applyBorder="1" applyAlignment="1">
      <alignment horizontal="left"/>
    </xf>
    <xf numFmtId="2" fontId="19" fillId="0" borderId="2" xfId="0" applyNumberFormat="1" applyFont="1" applyBorder="1" applyAlignment="1">
      <alignment horizontal="left" vertical="center"/>
    </xf>
    <xf numFmtId="2" fontId="18" fillId="0" borderId="6" xfId="0" applyNumberFormat="1" applyFont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1" fontId="18" fillId="0" borderId="8" xfId="0" applyNumberFormat="1" applyFont="1" applyBorder="1" applyAlignment="1">
      <alignment horizontal="left" vertical="center"/>
    </xf>
    <xf numFmtId="1" fontId="18" fillId="0" borderId="9" xfId="0" applyNumberFormat="1" applyFont="1" applyBorder="1" applyAlignment="1">
      <alignment horizontal="left"/>
    </xf>
    <xf numFmtId="1" fontId="18" fillId="0" borderId="8" xfId="0" applyNumberFormat="1" applyFont="1" applyBorder="1" applyAlignment="1">
      <alignment horizontal="left"/>
    </xf>
    <xf numFmtId="2" fontId="18" fillId="0" borderId="8" xfId="0" applyNumberFormat="1" applyFont="1" applyBorder="1" applyAlignment="1">
      <alignment horizontal="left"/>
    </xf>
    <xf numFmtId="1" fontId="18" fillId="0" borderId="8" xfId="2" applyNumberFormat="1" applyFont="1" applyBorder="1" applyAlignment="1">
      <alignment horizontal="left"/>
    </xf>
    <xf numFmtId="1" fontId="18" fillId="0" borderId="6" xfId="0" applyNumberFormat="1" applyFont="1" applyFill="1" applyBorder="1" applyAlignment="1">
      <alignment horizontal="left"/>
    </xf>
    <xf numFmtId="1" fontId="18" fillId="0" borderId="8" xfId="0" applyNumberFormat="1" applyFont="1" applyFill="1" applyBorder="1" applyAlignment="1">
      <alignment horizontal="left"/>
    </xf>
    <xf numFmtId="1" fontId="18" fillId="0" borderId="6" xfId="1" applyNumberFormat="1" applyFont="1" applyBorder="1" applyAlignment="1">
      <alignment horizontal="left"/>
    </xf>
    <xf numFmtId="1" fontId="18" fillId="0" borderId="8" xfId="1" applyNumberFormat="1" applyFont="1" applyBorder="1" applyAlignment="1">
      <alignment horizontal="left"/>
    </xf>
    <xf numFmtId="1" fontId="19" fillId="0" borderId="9" xfId="0" applyNumberFormat="1" applyFont="1" applyBorder="1" applyAlignment="1">
      <alignment horizontal="left"/>
    </xf>
    <xf numFmtId="1" fontId="19" fillId="0" borderId="10" xfId="0" applyNumberFormat="1" applyFont="1" applyBorder="1" applyAlignment="1">
      <alignment horizontal="left"/>
    </xf>
    <xf numFmtId="2" fontId="18" fillId="0" borderId="0" xfId="0" applyNumberFormat="1" applyFont="1" applyAlignment="1">
      <alignment horizontal="left"/>
    </xf>
    <xf numFmtId="1" fontId="18" fillId="0" borderId="3" xfId="0" applyNumberFormat="1" applyFont="1" applyBorder="1" applyAlignment="1">
      <alignment horizontal="left" vertical="center"/>
    </xf>
    <xf numFmtId="1" fontId="19" fillId="0" borderId="11" xfId="0" applyNumberFormat="1" applyFont="1" applyBorder="1" applyAlignment="1">
      <alignment horizontal="left"/>
    </xf>
    <xf numFmtId="1" fontId="19" fillId="0" borderId="12" xfId="0" applyNumberFormat="1" applyFont="1" applyBorder="1" applyAlignment="1">
      <alignment horizontal="left"/>
    </xf>
    <xf numFmtId="1" fontId="18" fillId="0" borderId="11" xfId="0" applyNumberFormat="1" applyFont="1" applyFill="1" applyBorder="1" applyAlignment="1">
      <alignment horizontal="left"/>
    </xf>
    <xf numFmtId="1" fontId="18" fillId="0" borderId="12" xfId="0" applyNumberFormat="1" applyFont="1" applyFill="1" applyBorder="1" applyAlignment="1">
      <alignment horizontal="left"/>
    </xf>
    <xf numFmtId="2" fontId="19" fillId="0" borderId="11" xfId="0" applyNumberFormat="1" applyFont="1" applyBorder="1" applyAlignment="1">
      <alignment horizontal="left"/>
    </xf>
    <xf numFmtId="2" fontId="19" fillId="0" borderId="12" xfId="0" applyNumberFormat="1" applyFont="1" applyBorder="1" applyAlignment="1">
      <alignment horizontal="left"/>
    </xf>
    <xf numFmtId="0" fontId="22" fillId="0" borderId="0" xfId="0" applyFont="1" applyAlignment="1">
      <alignment horizontal="left"/>
    </xf>
    <xf numFmtId="2" fontId="23" fillId="0" borderId="1" xfId="0" applyNumberFormat="1" applyFont="1" applyBorder="1" applyAlignment="1">
      <alignment horizontal="left"/>
    </xf>
    <xf numFmtId="2" fontId="23" fillId="0" borderId="2" xfId="0" applyNumberFormat="1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2" fontId="23" fillId="0" borderId="3" xfId="0" applyNumberFormat="1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2" fontId="23" fillId="0" borderId="3" xfId="0" applyNumberFormat="1" applyFont="1" applyFill="1" applyBorder="1" applyAlignment="1">
      <alignment horizontal="left"/>
    </xf>
    <xf numFmtId="2" fontId="23" fillId="0" borderId="2" xfId="1" applyNumberFormat="1" applyFont="1" applyBorder="1" applyAlignment="1">
      <alignment horizontal="left"/>
    </xf>
    <xf numFmtId="2" fontId="23" fillId="0" borderId="3" xfId="1" applyNumberFormat="1" applyFont="1" applyBorder="1" applyAlignment="1">
      <alignment horizontal="left"/>
    </xf>
    <xf numFmtId="2" fontId="24" fillId="0" borderId="4" xfId="0" applyNumberFormat="1" applyFont="1" applyBorder="1" applyAlignment="1">
      <alignment horizontal="left"/>
    </xf>
    <xf numFmtId="2" fontId="23" fillId="0" borderId="1" xfId="1" applyNumberFormat="1" applyFont="1" applyBorder="1" applyAlignment="1">
      <alignment horizontal="left"/>
    </xf>
    <xf numFmtId="2" fontId="24" fillId="0" borderId="1" xfId="0" applyNumberFormat="1" applyFont="1" applyBorder="1" applyAlignment="1">
      <alignment horizontal="left"/>
    </xf>
    <xf numFmtId="3" fontId="25" fillId="0" borderId="4" xfId="0" applyNumberFormat="1" applyFont="1" applyBorder="1" applyAlignment="1">
      <alignment horizontal="left"/>
    </xf>
    <xf numFmtId="3" fontId="25" fillId="0" borderId="3" xfId="0" applyNumberFormat="1" applyFont="1" applyBorder="1" applyAlignment="1">
      <alignment horizontal="left"/>
    </xf>
    <xf numFmtId="2" fontId="24" fillId="0" borderId="2" xfId="0" applyNumberFormat="1" applyFont="1" applyBorder="1" applyAlignment="1">
      <alignment horizontal="left"/>
    </xf>
    <xf numFmtId="2" fontId="24" fillId="0" borderId="5" xfId="0" applyNumberFormat="1" applyFont="1" applyBorder="1" applyAlignment="1">
      <alignment horizontal="left"/>
    </xf>
    <xf numFmtId="2" fontId="24" fillId="0" borderId="3" xfId="0" applyNumberFormat="1" applyFont="1" applyBorder="1" applyAlignment="1">
      <alignment horizontal="left"/>
    </xf>
    <xf numFmtId="2" fontId="2" fillId="0" borderId="3" xfId="0" applyNumberFormat="1" applyFont="1" applyBorder="1" applyAlignment="1">
      <alignment horizontal="left"/>
    </xf>
    <xf numFmtId="2" fontId="22" fillId="0" borderId="0" xfId="0" applyNumberFormat="1" applyFont="1" applyAlignment="1">
      <alignment horizontal="left"/>
    </xf>
    <xf numFmtId="2" fontId="19" fillId="0" borderId="2" xfId="2" applyNumberFormat="1" applyFont="1" applyBorder="1" applyAlignment="1">
      <alignment horizontal="left"/>
    </xf>
    <xf numFmtId="0" fontId="19" fillId="0" borderId="0" xfId="0" applyFont="1"/>
    <xf numFmtId="0" fontId="26" fillId="0" borderId="0" xfId="0" applyFont="1" applyAlignment="1">
      <alignment horizontal="left"/>
    </xf>
    <xf numFmtId="2" fontId="19" fillId="0" borderId="3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2" fontId="19" fillId="0" borderId="5" xfId="0" applyNumberFormat="1" applyFont="1" applyBorder="1" applyAlignment="1">
      <alignment horizontal="left"/>
    </xf>
    <xf numFmtId="2" fontId="19" fillId="0" borderId="3" xfId="0" applyNumberFormat="1" applyFont="1" applyFill="1" applyBorder="1" applyAlignment="1">
      <alignment horizontal="left"/>
    </xf>
    <xf numFmtId="2" fontId="19" fillId="0" borderId="2" xfId="1" applyNumberFormat="1" applyFont="1" applyBorder="1" applyAlignment="1">
      <alignment horizontal="left"/>
    </xf>
    <xf numFmtId="2" fontId="19" fillId="0" borderId="3" xfId="1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2" fillId="0" borderId="0" xfId="0" applyFont="1"/>
    <xf numFmtId="0" fontId="25" fillId="0" borderId="1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0" xfId="0" applyFont="1" applyAlignment="1">
      <alignment horizontal="left"/>
    </xf>
    <xf numFmtId="2" fontId="28" fillId="0" borderId="3" xfId="0" applyNumberFormat="1" applyFont="1" applyBorder="1" applyAlignment="1">
      <alignment horizontal="left" vertic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3" xfId="0" applyNumberFormat="1" applyFont="1" applyBorder="1" applyAlignment="1">
      <alignment horizontal="left"/>
    </xf>
    <xf numFmtId="1" fontId="28" fillId="0" borderId="1" xfId="0" applyNumberFormat="1" applyFont="1" applyBorder="1" applyAlignment="1">
      <alignment horizontal="left"/>
    </xf>
    <xf numFmtId="1" fontId="28" fillId="0" borderId="2" xfId="0" applyNumberFormat="1" applyFont="1" applyBorder="1" applyAlignment="1">
      <alignment horizontal="left"/>
    </xf>
    <xf numFmtId="1" fontId="28" fillId="0" borderId="3" xfId="0" applyNumberFormat="1" applyFont="1" applyBorder="1" applyAlignment="1">
      <alignment horizontal="left"/>
    </xf>
    <xf numFmtId="2" fontId="28" fillId="0" borderId="3" xfId="2" applyNumberFormat="1" applyFont="1" applyBorder="1" applyAlignment="1">
      <alignment horizontal="left"/>
    </xf>
    <xf numFmtId="2" fontId="28" fillId="0" borderId="2" xfId="0" applyNumberFormat="1" applyFont="1" applyFill="1" applyBorder="1" applyAlignment="1">
      <alignment horizontal="left"/>
    </xf>
    <xf numFmtId="2" fontId="28" fillId="0" borderId="3" xfId="1" applyNumberFormat="1" applyFont="1" applyBorder="1" applyAlignment="1">
      <alignment horizontal="left"/>
    </xf>
    <xf numFmtId="2" fontId="26" fillId="0" borderId="2" xfId="0" applyNumberFormat="1" applyFont="1" applyBorder="1" applyAlignment="1">
      <alignment horizontal="left"/>
    </xf>
    <xf numFmtId="1" fontId="28" fillId="0" borderId="3" xfId="0" applyNumberFormat="1" applyFont="1" applyBorder="1" applyAlignment="1">
      <alignment horizontal="left" vertical="center"/>
    </xf>
    <xf numFmtId="1" fontId="28" fillId="0" borderId="5" xfId="0" applyNumberFormat="1" applyFont="1" applyBorder="1" applyAlignment="1">
      <alignment horizontal="left"/>
    </xf>
    <xf numFmtId="1" fontId="28" fillId="0" borderId="0" xfId="0" applyNumberFormat="1" applyFont="1" applyBorder="1" applyAlignment="1">
      <alignment horizontal="left"/>
    </xf>
    <xf numFmtId="1" fontId="28" fillId="0" borderId="17" xfId="0" applyNumberFormat="1" applyFont="1" applyBorder="1" applyAlignment="1">
      <alignment horizontal="left"/>
    </xf>
    <xf numFmtId="3" fontId="25" fillId="0" borderId="1" xfId="0" applyNumberFormat="1" applyFont="1" applyBorder="1" applyAlignment="1">
      <alignment horizontal="left"/>
    </xf>
    <xf numFmtId="1" fontId="28" fillId="0" borderId="2" xfId="0" applyNumberFormat="1" applyFont="1" applyFill="1" applyBorder="1" applyAlignment="1">
      <alignment horizontal="left"/>
    </xf>
    <xf numFmtId="1" fontId="28" fillId="0" borderId="3" xfId="1" applyNumberFormat="1" applyFont="1" applyBorder="1" applyAlignment="1">
      <alignment horizontal="left"/>
    </xf>
    <xf numFmtId="1" fontId="26" fillId="0" borderId="1" xfId="0" applyNumberFormat="1" applyFont="1" applyBorder="1" applyAlignment="1">
      <alignment horizontal="left"/>
    </xf>
    <xf numFmtId="1" fontId="26" fillId="0" borderId="14" xfId="0" applyNumberFormat="1" applyFont="1" applyBorder="1" applyAlignment="1">
      <alignment horizontal="left"/>
    </xf>
    <xf numFmtId="0" fontId="29" fillId="0" borderId="14" xfId="0" applyFont="1" applyBorder="1" applyAlignment="1">
      <alignment horizontal="left"/>
    </xf>
    <xf numFmtId="1" fontId="26" fillId="0" borderId="2" xfId="0" applyNumberFormat="1" applyFont="1" applyBorder="1" applyAlignment="1">
      <alignment horizontal="left"/>
    </xf>
    <xf numFmtId="1" fontId="26" fillId="0" borderId="3" xfId="0" applyNumberFormat="1" applyFont="1" applyBorder="1" applyAlignment="1">
      <alignment horizontal="left"/>
    </xf>
    <xf numFmtId="1" fontId="26" fillId="0" borderId="5" xfId="0" applyNumberFormat="1" applyFont="1" applyBorder="1" applyAlignment="1">
      <alignment horizontal="left"/>
    </xf>
    <xf numFmtId="1" fontId="22" fillId="0" borderId="0" xfId="0" applyNumberFormat="1" applyFont="1" applyAlignment="1">
      <alignment horizontal="left"/>
    </xf>
    <xf numFmtId="1" fontId="28" fillId="0" borderId="4" xfId="0" applyNumberFormat="1" applyFont="1" applyBorder="1" applyAlignment="1">
      <alignment horizontal="left"/>
    </xf>
    <xf numFmtId="1" fontId="28" fillId="0" borderId="5" xfId="0" applyNumberFormat="1" applyFont="1" applyFill="1" applyBorder="1" applyAlignment="1">
      <alignment horizontal="left"/>
    </xf>
    <xf numFmtId="1" fontId="28" fillId="0" borderId="5" xfId="1" applyNumberFormat="1" applyFont="1" applyBorder="1" applyAlignment="1">
      <alignment horizontal="left"/>
    </xf>
    <xf numFmtId="1" fontId="26" fillId="0" borderId="4" xfId="0" applyNumberFormat="1" applyFont="1" applyBorder="1" applyAlignment="1">
      <alignment horizontal="left"/>
    </xf>
    <xf numFmtId="1" fontId="26" fillId="0" borderId="16" xfId="0" applyNumberFormat="1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2" fontId="26" fillId="0" borderId="3" xfId="0" applyNumberFormat="1" applyFont="1" applyBorder="1" applyAlignment="1">
      <alignment horizontal="left" vertical="center"/>
    </xf>
    <xf numFmtId="2" fontId="26" fillId="0" borderId="3" xfId="0" applyNumberFormat="1" applyFont="1" applyBorder="1" applyAlignment="1">
      <alignment horizontal="left"/>
    </xf>
    <xf numFmtId="2" fontId="28" fillId="0" borderId="18" xfId="0" applyNumberFormat="1" applyFont="1" applyBorder="1" applyAlignment="1">
      <alignment horizontal="left" vertical="center"/>
    </xf>
    <xf numFmtId="2" fontId="28" fillId="0" borderId="19" xfId="0" applyNumberFormat="1" applyFont="1" applyBorder="1" applyAlignment="1">
      <alignment horizontal="left"/>
    </xf>
    <xf numFmtId="1" fontId="28" fillId="0" borderId="18" xfId="0" applyNumberFormat="1" applyFont="1" applyBorder="1" applyAlignment="1">
      <alignment horizontal="left"/>
    </xf>
    <xf numFmtId="1" fontId="28" fillId="0" borderId="20" xfId="0" applyNumberFormat="1" applyFont="1" applyBorder="1" applyAlignment="1">
      <alignment horizontal="left"/>
    </xf>
    <xf numFmtId="1" fontId="28" fillId="0" borderId="19" xfId="0" applyNumberFormat="1" applyFont="1" applyBorder="1" applyAlignment="1">
      <alignment horizontal="left"/>
    </xf>
    <xf numFmtId="2" fontId="28" fillId="0" borderId="18" xfId="0" applyNumberFormat="1" applyFont="1" applyBorder="1" applyAlignment="1">
      <alignment horizontal="left"/>
    </xf>
    <xf numFmtId="1" fontId="28" fillId="0" borderId="21" xfId="0" applyNumberFormat="1" applyFont="1" applyBorder="1" applyAlignment="1">
      <alignment horizontal="left"/>
    </xf>
    <xf numFmtId="1" fontId="28" fillId="0" borderId="22" xfId="0" applyNumberFormat="1" applyFont="1" applyBorder="1" applyAlignment="1">
      <alignment horizontal="left"/>
    </xf>
    <xf numFmtId="1" fontId="28" fillId="0" borderId="22" xfId="0" applyNumberFormat="1" applyFont="1" applyFill="1" applyBorder="1" applyAlignment="1">
      <alignment horizontal="left"/>
    </xf>
    <xf numFmtId="1" fontId="28" fillId="0" borderId="22" xfId="1" applyNumberFormat="1" applyFont="1" applyBorder="1" applyAlignment="1">
      <alignment horizontal="left"/>
    </xf>
    <xf numFmtId="1" fontId="26" fillId="0" borderId="21" xfId="0" applyNumberFormat="1" applyFont="1" applyBorder="1" applyAlignment="1">
      <alignment horizontal="left"/>
    </xf>
    <xf numFmtId="1" fontId="26" fillId="0" borderId="20" xfId="0" applyNumberFormat="1" applyFont="1" applyBorder="1" applyAlignment="1">
      <alignment horizontal="left"/>
    </xf>
    <xf numFmtId="1" fontId="26" fillId="0" borderId="23" xfId="0" applyNumberFormat="1" applyFont="1" applyBorder="1" applyAlignment="1">
      <alignment horizontal="left"/>
    </xf>
    <xf numFmtId="0" fontId="28" fillId="0" borderId="24" xfId="0" applyFont="1" applyBorder="1" applyAlignment="1">
      <alignment horizontal="left"/>
    </xf>
    <xf numFmtId="0" fontId="28" fillId="0" borderId="25" xfId="0" applyFont="1" applyBorder="1" applyAlignment="1">
      <alignment horizontal="left"/>
    </xf>
    <xf numFmtId="1" fontId="28" fillId="0" borderId="25" xfId="0" applyNumberFormat="1" applyFont="1" applyBorder="1" applyAlignment="1">
      <alignment horizontal="left"/>
    </xf>
    <xf numFmtId="1" fontId="28" fillId="0" borderId="24" xfId="0" applyNumberFormat="1" applyFont="1" applyBorder="1" applyAlignment="1">
      <alignment horizontal="left"/>
    </xf>
    <xf numFmtId="1" fontId="26" fillId="0" borderId="26" xfId="0" applyNumberFormat="1" applyFont="1" applyBorder="1" applyAlignment="1">
      <alignment horizontal="left"/>
    </xf>
    <xf numFmtId="1" fontId="26" fillId="0" borderId="25" xfId="0" applyNumberFormat="1" applyFont="1" applyBorder="1" applyAlignment="1">
      <alignment horizontal="left"/>
    </xf>
    <xf numFmtId="0" fontId="28" fillId="0" borderId="17" xfId="0" applyFont="1" applyBorder="1" applyAlignment="1">
      <alignment horizontal="left"/>
    </xf>
    <xf numFmtId="1" fontId="28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17" fillId="0" borderId="0" xfId="0" applyFont="1"/>
    <xf numFmtId="0" fontId="29" fillId="0" borderId="27" xfId="0" applyFont="1" applyBorder="1" applyAlignment="1">
      <alignment horizontal="left"/>
    </xf>
    <xf numFmtId="0" fontId="26" fillId="0" borderId="6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1" fontId="26" fillId="0" borderId="8" xfId="0" applyNumberFormat="1" applyFont="1" applyBorder="1" applyAlignment="1">
      <alignment horizontal="left" vertical="center"/>
    </xf>
    <xf numFmtId="1" fontId="26" fillId="0" borderId="9" xfId="0" applyNumberFormat="1" applyFont="1" applyBorder="1" applyAlignment="1">
      <alignment horizontal="left" vertical="center"/>
    </xf>
    <xf numFmtId="1" fontId="26" fillId="0" borderId="6" xfId="0" applyNumberFormat="1" applyFont="1" applyBorder="1" applyAlignment="1">
      <alignment horizontal="left" vertical="center"/>
    </xf>
    <xf numFmtId="1" fontId="26" fillId="0" borderId="28" xfId="0" applyNumberFormat="1" applyFont="1" applyBorder="1" applyAlignment="1">
      <alignment horizontal="left" vertical="center"/>
    </xf>
    <xf numFmtId="1" fontId="26" fillId="0" borderId="29" xfId="0" applyNumberFormat="1" applyFont="1" applyBorder="1" applyAlignment="1">
      <alignment horizontal="left" vertical="center"/>
    </xf>
    <xf numFmtId="1" fontId="28" fillId="0" borderId="6" xfId="0" applyNumberFormat="1" applyFont="1" applyBorder="1" applyAlignment="1">
      <alignment horizontal="left"/>
    </xf>
    <xf numFmtId="1" fontId="28" fillId="0" borderId="8" xfId="0" applyNumberFormat="1" applyFont="1" applyBorder="1" applyAlignment="1">
      <alignment horizontal="left"/>
    </xf>
    <xf numFmtId="1" fontId="28" fillId="0" borderId="0" xfId="0" applyNumberFormat="1" applyFont="1"/>
    <xf numFmtId="1" fontId="25" fillId="0" borderId="5" xfId="0" applyNumberFormat="1" applyFont="1" applyBorder="1" applyAlignment="1">
      <alignment horizontal="left"/>
    </xf>
    <xf numFmtId="1" fontId="29" fillId="0" borderId="5" xfId="0" applyNumberFormat="1" applyFont="1" applyBorder="1" applyAlignment="1">
      <alignment horizontal="left"/>
    </xf>
    <xf numFmtId="1" fontId="25" fillId="0" borderId="30" xfId="0" applyNumberFormat="1" applyFont="1" applyBorder="1" applyAlignment="1">
      <alignment horizontal="left"/>
    </xf>
    <xf numFmtId="1" fontId="23" fillId="0" borderId="1" xfId="0" applyNumberFormat="1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left" vertical="center"/>
    </xf>
    <xf numFmtId="1" fontId="23" fillId="0" borderId="4" xfId="0" applyNumberFormat="1" applyFont="1" applyBorder="1" applyAlignment="1">
      <alignment horizontal="left"/>
    </xf>
    <xf numFmtId="1" fontId="23" fillId="0" borderId="2" xfId="0" applyNumberFormat="1" applyFont="1" applyBorder="1" applyAlignment="1">
      <alignment horizontal="left"/>
    </xf>
    <xf numFmtId="1" fontId="23" fillId="0" borderId="3" xfId="0" applyNumberFormat="1" applyFont="1" applyBorder="1" applyAlignment="1">
      <alignment horizontal="left"/>
    </xf>
    <xf numFmtId="1" fontId="23" fillId="0" borderId="2" xfId="0" applyNumberFormat="1" applyFont="1" applyFill="1" applyBorder="1" applyAlignment="1">
      <alignment horizontal="left"/>
    </xf>
    <xf numFmtId="1" fontId="23" fillId="0" borderId="1" xfId="1" applyNumberFormat="1" applyFont="1" applyBorder="1" applyAlignment="1">
      <alignment horizontal="left"/>
    </xf>
    <xf numFmtId="1" fontId="23" fillId="0" borderId="1" xfId="0" applyNumberFormat="1" applyFont="1" applyBorder="1" applyAlignment="1">
      <alignment horizontal="left"/>
    </xf>
    <xf numFmtId="1" fontId="24" fillId="0" borderId="1" xfId="0" applyNumberFormat="1" applyFont="1" applyBorder="1" applyAlignment="1">
      <alignment horizontal="left" vertical="center"/>
    </xf>
    <xf numFmtId="1" fontId="22" fillId="0" borderId="0" xfId="0" applyNumberFormat="1" applyFont="1" applyBorder="1" applyAlignment="1">
      <alignment horizontal="left"/>
    </xf>
    <xf numFmtId="1" fontId="24" fillId="0" borderId="2" xfId="0" applyNumberFormat="1" applyFont="1" applyBorder="1" applyAlignment="1">
      <alignment horizontal="left"/>
    </xf>
    <xf numFmtId="1" fontId="25" fillId="0" borderId="31" xfId="0" applyNumberFormat="1" applyFont="1" applyBorder="1" applyAlignment="1">
      <alignment horizontal="left"/>
    </xf>
    <xf numFmtId="1" fontId="24" fillId="0" borderId="21" xfId="0" applyNumberFormat="1" applyFont="1" applyBorder="1" applyAlignment="1">
      <alignment horizontal="left" vertical="center"/>
    </xf>
    <xf numFmtId="1" fontId="23" fillId="0" borderId="19" xfId="0" applyNumberFormat="1" applyFont="1" applyBorder="1" applyAlignment="1">
      <alignment horizontal="left"/>
    </xf>
    <xf numFmtId="1" fontId="23" fillId="0" borderId="18" xfId="0" applyNumberFormat="1" applyFont="1" applyBorder="1" applyAlignment="1">
      <alignment horizontal="left"/>
    </xf>
    <xf numFmtId="1" fontId="23" fillId="0" borderId="19" xfId="0" applyNumberFormat="1" applyFont="1" applyFill="1" applyBorder="1" applyAlignment="1">
      <alignment horizontal="left"/>
    </xf>
    <xf numFmtId="1" fontId="23" fillId="0" borderId="18" xfId="0" applyNumberFormat="1" applyFont="1" applyBorder="1" applyAlignment="1">
      <alignment horizontal="left" vertical="center"/>
    </xf>
    <xf numFmtId="1" fontId="24" fillId="0" borderId="32" xfId="0" applyNumberFormat="1" applyFont="1" applyBorder="1" applyAlignment="1">
      <alignment horizontal="left" vertical="center"/>
    </xf>
    <xf numFmtId="1" fontId="19" fillId="0" borderId="8" xfId="0" applyNumberFormat="1" applyFont="1" applyBorder="1" applyAlignment="1">
      <alignment horizontal="left"/>
    </xf>
    <xf numFmtId="1" fontId="19" fillId="0" borderId="15" xfId="0" applyNumberFormat="1" applyFont="1" applyBorder="1" applyAlignment="1">
      <alignment horizontal="left" vertical="center"/>
    </xf>
    <xf numFmtId="1" fontId="18" fillId="0" borderId="15" xfId="0" applyNumberFormat="1" applyFont="1" applyBorder="1" applyAlignment="1">
      <alignment horizontal="left" vertical="center"/>
    </xf>
    <xf numFmtId="1" fontId="4" fillId="0" borderId="2" xfId="2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1" fontId="4" fillId="0" borderId="2" xfId="0" applyNumberFormat="1" applyFont="1" applyFill="1" applyBorder="1" applyAlignment="1">
      <alignment horizontal="left"/>
    </xf>
    <xf numFmtId="1" fontId="4" fillId="0" borderId="2" xfId="1" applyNumberFormat="1" applyFont="1" applyBorder="1" applyAlignment="1">
      <alignment horizontal="left"/>
    </xf>
    <xf numFmtId="2" fontId="18" fillId="0" borderId="5" xfId="0" applyNumberFormat="1" applyFont="1" applyBorder="1" applyAlignment="1">
      <alignment horizontal="left"/>
    </xf>
    <xf numFmtId="2" fontId="18" fillId="0" borderId="1" xfId="2" applyNumberFormat="1" applyFont="1" applyBorder="1" applyAlignment="1">
      <alignment horizontal="left"/>
    </xf>
    <xf numFmtId="2" fontId="18" fillId="0" borderId="2" xfId="1" applyNumberFormat="1" applyFont="1" applyBorder="1" applyAlignment="1">
      <alignment horizontal="left"/>
    </xf>
    <xf numFmtId="1" fontId="18" fillId="0" borderId="0" xfId="0" applyNumberFormat="1" applyFont="1" applyFill="1" applyAlignment="1">
      <alignment horizontal="left"/>
    </xf>
    <xf numFmtId="1" fontId="18" fillId="0" borderId="0" xfId="0" applyNumberFormat="1" applyFont="1"/>
    <xf numFmtId="1" fontId="4" fillId="0" borderId="3" xfId="2" applyNumberFormat="1" applyFont="1" applyBorder="1" applyAlignment="1">
      <alignment horizontal="left"/>
    </xf>
    <xf numFmtId="1" fontId="18" fillId="0" borderId="11" xfId="0" applyNumberFormat="1" applyFont="1" applyBorder="1" applyAlignment="1">
      <alignment horizontal="left"/>
    </xf>
    <xf numFmtId="1" fontId="18" fillId="0" borderId="12" xfId="0" applyNumberFormat="1" applyFont="1" applyBorder="1" applyAlignment="1">
      <alignment horizontal="left"/>
    </xf>
    <xf numFmtId="0" fontId="26" fillId="0" borderId="33" xfId="0" applyFont="1" applyBorder="1" applyAlignment="1">
      <alignment horizontal="left" vertical="center"/>
    </xf>
    <xf numFmtId="0" fontId="26" fillId="0" borderId="34" xfId="0" applyFont="1" applyBorder="1" applyAlignment="1">
      <alignment horizontal="left" vertical="center"/>
    </xf>
    <xf numFmtId="1" fontId="25" fillId="0" borderId="3" xfId="0" applyNumberFormat="1" applyFont="1" applyBorder="1" applyAlignment="1">
      <alignment horizontal="left"/>
    </xf>
    <xf numFmtId="1" fontId="28" fillId="0" borderId="12" xfId="0" applyNumberFormat="1" applyFont="1" applyBorder="1" applyAlignment="1">
      <alignment horizontal="left"/>
    </xf>
    <xf numFmtId="0" fontId="28" fillId="0" borderId="35" xfId="0" applyFont="1" applyBorder="1" applyAlignment="1">
      <alignment horizontal="left"/>
    </xf>
    <xf numFmtId="2" fontId="24" fillId="0" borderId="14" xfId="0" applyNumberFormat="1" applyFont="1" applyBorder="1" applyAlignment="1">
      <alignment horizontal="left"/>
    </xf>
    <xf numFmtId="2" fontId="23" fillId="0" borderId="21" xfId="0" applyNumberFormat="1" applyFont="1" applyBorder="1" applyAlignment="1">
      <alignment horizontal="left"/>
    </xf>
    <xf numFmtId="2" fontId="23" fillId="0" borderId="19" xfId="0" applyNumberFormat="1" applyFont="1" applyBorder="1" applyAlignment="1">
      <alignment horizontal="left"/>
    </xf>
    <xf numFmtId="2" fontId="23" fillId="0" borderId="22" xfId="0" applyNumberFormat="1" applyFont="1" applyBorder="1" applyAlignment="1">
      <alignment horizontal="left"/>
    </xf>
    <xf numFmtId="2" fontId="23" fillId="0" borderId="18" xfId="0" applyNumberFormat="1" applyFont="1" applyBorder="1" applyAlignment="1">
      <alignment horizontal="left"/>
    </xf>
    <xf numFmtId="2" fontId="23" fillId="0" borderId="18" xfId="0" applyNumberFormat="1" applyFont="1" applyFill="1" applyBorder="1" applyAlignment="1">
      <alignment horizontal="left"/>
    </xf>
    <xf numFmtId="2" fontId="23" fillId="0" borderId="19" xfId="1" applyNumberFormat="1" applyFont="1" applyBorder="1" applyAlignment="1">
      <alignment horizontal="left"/>
    </xf>
    <xf numFmtId="2" fontId="23" fillId="0" borderId="18" xfId="1" applyNumberFormat="1" applyFont="1" applyBorder="1" applyAlignment="1">
      <alignment horizontal="left"/>
    </xf>
    <xf numFmtId="2" fontId="24" fillId="0" borderId="20" xfId="0" applyNumberFormat="1" applyFont="1" applyBorder="1" applyAlignment="1">
      <alignment horizontal="left"/>
    </xf>
    <xf numFmtId="2" fontId="23" fillId="0" borderId="21" xfId="1" applyNumberFormat="1" applyFont="1" applyBorder="1" applyAlignment="1">
      <alignment horizontal="left"/>
    </xf>
    <xf numFmtId="2" fontId="24" fillId="0" borderId="32" xfId="0" applyNumberFormat="1" applyFont="1" applyBorder="1" applyAlignment="1">
      <alignment horizontal="left"/>
    </xf>
    <xf numFmtId="2" fontId="23" fillId="0" borderId="37" xfId="0" applyNumberFormat="1" applyFont="1" applyBorder="1" applyAlignment="1">
      <alignment horizontal="left"/>
    </xf>
    <xf numFmtId="2" fontId="23" fillId="0" borderId="38" xfId="0" applyNumberFormat="1" applyFont="1" applyBorder="1" applyAlignment="1">
      <alignment horizontal="left"/>
    </xf>
    <xf numFmtId="2" fontId="23" fillId="0" borderId="39" xfId="0" applyNumberFormat="1" applyFont="1" applyBorder="1" applyAlignment="1">
      <alignment horizontal="left"/>
    </xf>
    <xf numFmtId="2" fontId="23" fillId="0" borderId="40" xfId="0" applyNumberFormat="1" applyFont="1" applyBorder="1" applyAlignment="1">
      <alignment horizontal="left"/>
    </xf>
    <xf numFmtId="2" fontId="23" fillId="0" borderId="40" xfId="0" applyNumberFormat="1" applyFont="1" applyFill="1" applyBorder="1" applyAlignment="1">
      <alignment horizontal="left"/>
    </xf>
    <xf numFmtId="2" fontId="23" fillId="0" borderId="38" xfId="1" applyNumberFormat="1" applyFont="1" applyBorder="1" applyAlignment="1">
      <alignment horizontal="left"/>
    </xf>
    <xf numFmtId="2" fontId="23" fillId="0" borderId="40" xfId="1" applyNumberFormat="1" applyFont="1" applyBorder="1" applyAlignment="1">
      <alignment horizontal="left"/>
    </xf>
    <xf numFmtId="2" fontId="24" fillId="0" borderId="41" xfId="0" applyNumberFormat="1" applyFont="1" applyBorder="1" applyAlignment="1">
      <alignment horizontal="left"/>
    </xf>
    <xf numFmtId="2" fontId="23" fillId="0" borderId="37" xfId="1" applyNumberFormat="1" applyFont="1" applyBorder="1" applyAlignment="1">
      <alignment horizontal="left"/>
    </xf>
    <xf numFmtId="2" fontId="24" fillId="0" borderId="42" xfId="0" applyNumberFormat="1" applyFont="1" applyBorder="1" applyAlignment="1">
      <alignment horizontal="left"/>
    </xf>
    <xf numFmtId="2" fontId="18" fillId="0" borderId="21" xfId="0" applyNumberFormat="1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2" fontId="18" fillId="0" borderId="19" xfId="0" applyNumberFormat="1" applyFont="1" applyBorder="1" applyAlignment="1">
      <alignment horizontal="left"/>
    </xf>
    <xf numFmtId="2" fontId="18" fillId="0" borderId="18" xfId="0" applyNumberFormat="1" applyFont="1" applyBorder="1" applyAlignment="1">
      <alignment horizontal="left"/>
    </xf>
    <xf numFmtId="0" fontId="28" fillId="0" borderId="42" xfId="0" applyFont="1" applyBorder="1" applyAlignment="1">
      <alignment horizontal="left"/>
    </xf>
    <xf numFmtId="2" fontId="19" fillId="0" borderId="38" xfId="0" applyNumberFormat="1" applyFont="1" applyBorder="1" applyAlignment="1">
      <alignment horizontal="left" vertical="center"/>
    </xf>
    <xf numFmtId="2" fontId="19" fillId="0" borderId="39" xfId="0" applyNumberFormat="1" applyFont="1" applyBorder="1" applyAlignment="1">
      <alignment horizontal="left" vertical="center"/>
    </xf>
    <xf numFmtId="2" fontId="19" fillId="0" borderId="37" xfId="0" applyNumberFormat="1" applyFont="1" applyBorder="1" applyAlignment="1">
      <alignment horizontal="left"/>
    </xf>
    <xf numFmtId="0" fontId="19" fillId="0" borderId="38" xfId="0" applyFont="1" applyBorder="1" applyAlignment="1">
      <alignment horizontal="left"/>
    </xf>
    <xf numFmtId="0" fontId="19" fillId="0" borderId="40" xfId="0" applyFont="1" applyBorder="1" applyAlignment="1">
      <alignment horizontal="left"/>
    </xf>
    <xf numFmtId="2" fontId="19" fillId="0" borderId="38" xfId="0" applyNumberFormat="1" applyFont="1" applyBorder="1" applyAlignment="1">
      <alignment horizontal="left"/>
    </xf>
    <xf numFmtId="2" fontId="19" fillId="0" borderId="40" xfId="0" applyNumberFormat="1" applyFont="1" applyBorder="1" applyAlignment="1">
      <alignment horizontal="left"/>
    </xf>
    <xf numFmtId="0" fontId="28" fillId="0" borderId="40" xfId="0" applyFont="1" applyBorder="1" applyAlignment="1">
      <alignment horizontal="left"/>
    </xf>
    <xf numFmtId="1" fontId="20" fillId="0" borderId="30" xfId="0" applyNumberFormat="1" applyFont="1" applyBorder="1" applyAlignment="1">
      <alignment horizontal="left"/>
    </xf>
    <xf numFmtId="1" fontId="18" fillId="0" borderId="2" xfId="0" applyNumberFormat="1" applyFont="1" applyFill="1" applyBorder="1" applyAlignment="1">
      <alignment horizontal="left" wrapText="1"/>
    </xf>
    <xf numFmtId="1" fontId="18" fillId="0" borderId="2" xfId="0" applyNumberFormat="1" applyFont="1" applyFill="1" applyBorder="1" applyAlignment="1">
      <alignment horizontal="left" vertical="top" shrinkToFit="1"/>
    </xf>
    <xf numFmtId="1" fontId="18" fillId="0" borderId="2" xfId="0" applyNumberFormat="1" applyFont="1" applyFill="1" applyBorder="1" applyAlignment="1">
      <alignment horizontal="left" vertical="top" wrapText="1"/>
    </xf>
    <xf numFmtId="1" fontId="19" fillId="0" borderId="2" xfId="0" applyNumberFormat="1" applyFont="1" applyFill="1" applyBorder="1" applyAlignment="1">
      <alignment horizontal="left" vertical="top" shrinkToFit="1"/>
    </xf>
    <xf numFmtId="1" fontId="18" fillId="0" borderId="3" xfId="0" applyNumberFormat="1" applyFont="1" applyFill="1" applyBorder="1" applyAlignment="1">
      <alignment horizontal="left" wrapText="1"/>
    </xf>
    <xf numFmtId="1" fontId="18" fillId="0" borderId="3" xfId="0" applyNumberFormat="1" applyFont="1" applyFill="1" applyBorder="1" applyAlignment="1">
      <alignment horizontal="left" vertical="top" shrinkToFit="1"/>
    </xf>
    <xf numFmtId="1" fontId="18" fillId="0" borderId="3" xfId="0" applyNumberFormat="1" applyFont="1" applyFill="1" applyBorder="1" applyAlignment="1">
      <alignment horizontal="left" vertical="top" wrapText="1"/>
    </xf>
    <xf numFmtId="1" fontId="19" fillId="0" borderId="3" xfId="0" applyNumberFormat="1" applyFont="1" applyFill="1" applyBorder="1" applyAlignment="1">
      <alignment horizontal="left" vertical="top" shrinkToFit="1"/>
    </xf>
    <xf numFmtId="1" fontId="4" fillId="0" borderId="3" xfId="0" applyNumberFormat="1" applyFont="1" applyFill="1" applyBorder="1" applyAlignment="1">
      <alignment horizontal="left"/>
    </xf>
    <xf numFmtId="1" fontId="18" fillId="0" borderId="14" xfId="1" applyNumberFormat="1" applyFont="1" applyBorder="1" applyAlignment="1">
      <alignment horizontal="left"/>
    </xf>
    <xf numFmtId="1" fontId="4" fillId="0" borderId="3" xfId="1" applyNumberFormat="1" applyFont="1" applyBorder="1" applyAlignment="1">
      <alignment horizontal="left"/>
    </xf>
    <xf numFmtId="2" fontId="18" fillId="0" borderId="3" xfId="1" applyNumberFormat="1" applyFont="1" applyBorder="1" applyAlignment="1">
      <alignment horizontal="left"/>
    </xf>
    <xf numFmtId="1" fontId="18" fillId="0" borderId="0" xfId="0" applyNumberFormat="1" applyFont="1" applyBorder="1" applyAlignment="1">
      <alignment horizontal="left"/>
    </xf>
    <xf numFmtId="1" fontId="18" fillId="0" borderId="17" xfId="0" applyNumberFormat="1" applyFont="1" applyBorder="1" applyAlignment="1">
      <alignment horizontal="left"/>
    </xf>
    <xf numFmtId="2" fontId="18" fillId="0" borderId="11" xfId="1" applyNumberFormat="1" applyFont="1" applyBorder="1" applyAlignment="1">
      <alignment horizontal="left"/>
    </xf>
    <xf numFmtId="2" fontId="18" fillId="0" borderId="12" xfId="1" applyNumberFormat="1" applyFont="1" applyBorder="1" applyAlignment="1">
      <alignment horizontal="left"/>
    </xf>
    <xf numFmtId="2" fontId="19" fillId="0" borderId="43" xfId="0" applyNumberFormat="1" applyFont="1" applyBorder="1" applyAlignment="1">
      <alignment horizontal="left"/>
    </xf>
    <xf numFmtId="2" fontId="18" fillId="0" borderId="43" xfId="0" applyNumberFormat="1" applyFont="1" applyBorder="1" applyAlignment="1">
      <alignment horizontal="left"/>
    </xf>
    <xf numFmtId="2" fontId="18" fillId="0" borderId="34" xfId="0" applyNumberFormat="1" applyFont="1" applyBorder="1" applyAlignment="1">
      <alignment horizontal="left"/>
    </xf>
    <xf numFmtId="2" fontId="19" fillId="0" borderId="28" xfId="0" applyNumberFormat="1" applyFont="1" applyBorder="1" applyAlignment="1">
      <alignment horizontal="left" vertical="center"/>
    </xf>
    <xf numFmtId="2" fontId="19" fillId="0" borderId="8" xfId="0" applyNumberFormat="1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27" fillId="0" borderId="36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1" fontId="19" fillId="0" borderId="14" xfId="0" applyNumberFormat="1" applyFont="1" applyBorder="1" applyAlignment="1">
      <alignment horizontal="left" vertical="center"/>
    </xf>
    <xf numFmtId="1" fontId="19" fillId="0" borderId="16" xfId="0" applyNumberFormat="1" applyFont="1" applyBorder="1" applyAlignment="1">
      <alignment horizontal="left" vertical="center"/>
    </xf>
    <xf numFmtId="1" fontId="18" fillId="0" borderId="7" xfId="0" applyNumberFormat="1" applyFont="1" applyBorder="1" applyAlignment="1">
      <alignment horizontal="left"/>
    </xf>
    <xf numFmtId="1" fontId="18" fillId="0" borderId="16" xfId="0" applyNumberFormat="1" applyFont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2" fontId="18" fillId="0" borderId="44" xfId="0" applyNumberFormat="1" applyFont="1" applyBorder="1" applyAlignment="1">
      <alignment horizontal="left"/>
    </xf>
    <xf numFmtId="2" fontId="18" fillId="0" borderId="45" xfId="0" applyNumberFormat="1" applyFont="1" applyBorder="1" applyAlignment="1">
      <alignment horizontal="left"/>
    </xf>
    <xf numFmtId="2" fontId="18" fillId="0" borderId="46" xfId="0" applyNumberFormat="1" applyFont="1" applyBorder="1" applyAlignment="1">
      <alignment horizontal="left"/>
    </xf>
    <xf numFmtId="2" fontId="18" fillId="0" borderId="43" xfId="2" applyNumberFormat="1" applyFont="1" applyBorder="1" applyAlignment="1">
      <alignment horizontal="left"/>
    </xf>
    <xf numFmtId="2" fontId="18" fillId="0" borderId="34" xfId="2" applyNumberFormat="1" applyFont="1" applyBorder="1" applyAlignment="1">
      <alignment horizontal="left"/>
    </xf>
    <xf numFmtId="2" fontId="18" fillId="0" borderId="43" xfId="0" applyNumberFormat="1" applyFont="1" applyFill="1" applyBorder="1" applyAlignment="1">
      <alignment horizontal="left" vertical="center" wrapText="1"/>
    </xf>
    <xf numFmtId="2" fontId="18" fillId="0" borderId="34" xfId="0" applyNumberFormat="1" applyFont="1" applyFill="1" applyBorder="1" applyAlignment="1">
      <alignment horizontal="left" vertical="center" wrapText="1"/>
    </xf>
    <xf numFmtId="2" fontId="18" fillId="0" borderId="43" xfId="0" applyNumberFormat="1" applyFont="1" applyFill="1" applyBorder="1" applyAlignment="1">
      <alignment horizontal="left"/>
    </xf>
    <xf numFmtId="2" fontId="18" fillId="0" borderId="34" xfId="0" applyNumberFormat="1" applyFont="1" applyFill="1" applyBorder="1" applyAlignment="1">
      <alignment horizontal="left"/>
    </xf>
    <xf numFmtId="2" fontId="18" fillId="0" borderId="43" xfId="1" applyNumberFormat="1" applyFont="1" applyBorder="1" applyAlignment="1">
      <alignment horizontal="left"/>
    </xf>
    <xf numFmtId="2" fontId="18" fillId="0" borderId="34" xfId="1" applyNumberFormat="1" applyFont="1" applyBorder="1" applyAlignment="1">
      <alignment horizontal="left"/>
    </xf>
    <xf numFmtId="2" fontId="19" fillId="0" borderId="34" xfId="0" applyNumberFormat="1" applyFont="1" applyBorder="1" applyAlignment="1">
      <alignment horizontal="left"/>
    </xf>
    <xf numFmtId="2" fontId="18" fillId="0" borderId="33" xfId="0" applyNumberFormat="1" applyFont="1" applyBorder="1" applyAlignment="1">
      <alignment horizontal="left"/>
    </xf>
    <xf numFmtId="2" fontId="30" fillId="0" borderId="5" xfId="0" applyNumberFormat="1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1" fontId="18" fillId="0" borderId="16" xfId="1" applyNumberFormat="1" applyFont="1" applyBorder="1" applyAlignment="1">
      <alignment horizontal="left"/>
    </xf>
    <xf numFmtId="165" fontId="20" fillId="0" borderId="2" xfId="0" applyNumberFormat="1" applyFont="1" applyBorder="1" applyAlignment="1">
      <alignment horizontal="left"/>
    </xf>
    <xf numFmtId="3" fontId="20" fillId="0" borderId="43" xfId="0" applyNumberFormat="1" applyFont="1" applyBorder="1" applyAlignment="1">
      <alignment horizontal="left"/>
    </xf>
    <xf numFmtId="3" fontId="20" fillId="0" borderId="34" xfId="0" applyNumberFormat="1" applyFont="1" applyBorder="1" applyAlignment="1">
      <alignment horizontal="left"/>
    </xf>
    <xf numFmtId="165" fontId="20" fillId="0" borderId="3" xfId="0" applyNumberFormat="1" applyFont="1" applyBorder="1" applyAlignment="1">
      <alignment horizontal="left"/>
    </xf>
    <xf numFmtId="1" fontId="18" fillId="0" borderId="29" xfId="0" applyNumberFormat="1" applyFont="1" applyBorder="1" applyAlignment="1">
      <alignment horizontal="left"/>
    </xf>
    <xf numFmtId="1" fontId="27" fillId="0" borderId="13" xfId="0" applyNumberFormat="1" applyFont="1" applyBorder="1" applyAlignment="1">
      <alignment horizontal="left"/>
    </xf>
    <xf numFmtId="1" fontId="18" fillId="0" borderId="27" xfId="0" applyNumberFormat="1" applyFont="1" applyBorder="1" applyAlignment="1">
      <alignment horizontal="left"/>
    </xf>
    <xf numFmtId="1" fontId="19" fillId="0" borderId="14" xfId="0" applyNumberFormat="1" applyFont="1" applyBorder="1" applyAlignment="1">
      <alignment horizontal="left"/>
    </xf>
    <xf numFmtId="1" fontId="19" fillId="0" borderId="16" xfId="0" applyNumberFormat="1" applyFont="1" applyBorder="1" applyAlignment="1">
      <alignment horizontal="left"/>
    </xf>
    <xf numFmtId="1" fontId="19" fillId="0" borderId="23" xfId="0" applyNumberFormat="1" applyFont="1" applyBorder="1" applyAlignment="1">
      <alignment horizontal="left"/>
    </xf>
    <xf numFmtId="1" fontId="18" fillId="0" borderId="10" xfId="1" applyNumberFormat="1" applyFont="1" applyBorder="1" applyAlignment="1">
      <alignment horizontal="left"/>
    </xf>
    <xf numFmtId="1" fontId="18" fillId="0" borderId="23" xfId="1" applyNumberFormat="1" applyFont="1" applyBorder="1" applyAlignment="1">
      <alignment horizontal="left"/>
    </xf>
    <xf numFmtId="1" fontId="18" fillId="0" borderId="27" xfId="1" applyNumberFormat="1" applyFont="1" applyBorder="1" applyAlignment="1">
      <alignment horizontal="left"/>
    </xf>
    <xf numFmtId="1" fontId="18" fillId="0" borderId="32" xfId="1" applyNumberFormat="1" applyFont="1" applyBorder="1" applyAlignment="1">
      <alignment horizontal="left"/>
    </xf>
    <xf numFmtId="1" fontId="18" fillId="0" borderId="47" xfId="0" applyNumberFormat="1" applyFont="1" applyFill="1" applyBorder="1" applyAlignment="1">
      <alignment horizontal="left"/>
    </xf>
    <xf numFmtId="1" fontId="18" fillId="0" borderId="30" xfId="0" applyNumberFormat="1" applyFont="1" applyFill="1" applyBorder="1" applyAlignment="1">
      <alignment horizontal="left"/>
    </xf>
    <xf numFmtId="1" fontId="18" fillId="0" borderId="30" xfId="0" applyNumberFormat="1" applyFont="1" applyBorder="1" applyAlignment="1">
      <alignment horizontal="left"/>
    </xf>
    <xf numFmtId="1" fontId="18" fillId="0" borderId="31" xfId="0" applyNumberFormat="1" applyFont="1" applyFill="1" applyBorder="1" applyAlignment="1">
      <alignment horizontal="left"/>
    </xf>
    <xf numFmtId="1" fontId="20" fillId="0" borderId="7" xfId="0" applyNumberFormat="1" applyFont="1" applyBorder="1" applyAlignment="1">
      <alignment horizontal="left"/>
    </xf>
    <xf numFmtId="1" fontId="18" fillId="0" borderId="47" xfId="0" applyNumberFormat="1" applyFont="1" applyBorder="1" applyAlignment="1">
      <alignment horizontal="left" wrapText="1"/>
    </xf>
    <xf numFmtId="1" fontId="18" fillId="0" borderId="30" xfId="0" applyNumberFormat="1" applyFont="1" applyBorder="1" applyAlignment="1">
      <alignment horizontal="left" wrapText="1"/>
    </xf>
    <xf numFmtId="1" fontId="18" fillId="0" borderId="31" xfId="0" applyNumberFormat="1" applyFont="1" applyBorder="1" applyAlignment="1">
      <alignment horizontal="left" wrapText="1"/>
    </xf>
    <xf numFmtId="1" fontId="18" fillId="0" borderId="47" xfId="0" applyNumberFormat="1" applyFont="1" applyBorder="1" applyAlignment="1">
      <alignment horizontal="left"/>
    </xf>
    <xf numFmtId="1" fontId="19" fillId="0" borderId="30" xfId="0" applyNumberFormat="1" applyFont="1" applyBorder="1" applyAlignment="1">
      <alignment horizontal="left"/>
    </xf>
    <xf numFmtId="1" fontId="18" fillId="0" borderId="31" xfId="0" applyNumberFormat="1" applyFont="1" applyBorder="1" applyAlignment="1">
      <alignment horizontal="left"/>
    </xf>
    <xf numFmtId="1" fontId="1" fillId="0" borderId="30" xfId="0" applyNumberFormat="1" applyFont="1" applyBorder="1" applyAlignment="1">
      <alignment horizontal="left"/>
    </xf>
    <xf numFmtId="1" fontId="18" fillId="0" borderId="47" xfId="2" applyNumberFormat="1" applyFont="1" applyBorder="1" applyAlignment="1">
      <alignment horizontal="left"/>
    </xf>
    <xf numFmtId="1" fontId="18" fillId="0" borderId="30" xfId="2" applyNumberFormat="1" applyFont="1" applyBorder="1" applyAlignment="1">
      <alignment horizontal="left"/>
    </xf>
    <xf numFmtId="1" fontId="18" fillId="0" borderId="31" xfId="2" applyNumberFormat="1" applyFont="1" applyBorder="1" applyAlignment="1">
      <alignment horizontal="left"/>
    </xf>
    <xf numFmtId="1" fontId="18" fillId="0" borderId="47" xfId="0" applyNumberFormat="1" applyFont="1" applyBorder="1" applyAlignment="1">
      <alignment horizontal="left" vertical="center"/>
    </xf>
    <xf numFmtId="1" fontId="18" fillId="0" borderId="30" xfId="0" applyNumberFormat="1" applyFont="1" applyBorder="1" applyAlignment="1">
      <alignment horizontal="left" vertical="center"/>
    </xf>
    <xf numFmtId="1" fontId="19" fillId="0" borderId="30" xfId="0" applyNumberFormat="1" applyFont="1" applyBorder="1" applyAlignment="1">
      <alignment horizontal="left" vertical="center"/>
    </xf>
    <xf numFmtId="1" fontId="18" fillId="0" borderId="31" xfId="0" applyNumberFormat="1" applyFont="1" applyBorder="1" applyAlignment="1">
      <alignment horizontal="left" vertical="center"/>
    </xf>
    <xf numFmtId="1" fontId="19" fillId="0" borderId="27" xfId="0" applyNumberFormat="1" applyFont="1" applyBorder="1" applyAlignment="1">
      <alignment horizontal="left"/>
    </xf>
    <xf numFmtId="1" fontId="19" fillId="0" borderId="32" xfId="0" applyNumberFormat="1" applyFont="1" applyBorder="1" applyAlignment="1">
      <alignment horizontal="left"/>
    </xf>
    <xf numFmtId="1" fontId="23" fillId="0" borderId="22" xfId="1" applyNumberFormat="1" applyFont="1" applyBorder="1" applyAlignment="1">
      <alignment horizontal="left"/>
    </xf>
    <xf numFmtId="1" fontId="23" fillId="0" borderId="5" xfId="0" applyNumberFormat="1" applyFont="1" applyBorder="1" applyAlignment="1">
      <alignment horizontal="left"/>
    </xf>
    <xf numFmtId="1" fontId="23" fillId="0" borderId="22" xfId="0" applyNumberFormat="1" applyFont="1" applyBorder="1" applyAlignment="1">
      <alignment horizontal="left"/>
    </xf>
    <xf numFmtId="1" fontId="23" fillId="0" borderId="1" xfId="2" applyNumberFormat="1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2" fontId="23" fillId="0" borderId="28" xfId="0" applyNumberFormat="1" applyFont="1" applyBorder="1" applyAlignment="1">
      <alignment horizontal="left"/>
    </xf>
    <xf numFmtId="2" fontId="23" fillId="0" borderId="6" xfId="0" applyNumberFormat="1" applyFont="1" applyBorder="1" applyAlignment="1">
      <alignment horizontal="left"/>
    </xf>
    <xf numFmtId="2" fontId="23" fillId="0" borderId="29" xfId="0" applyNumberFormat="1" applyFont="1" applyBorder="1" applyAlignment="1">
      <alignment horizontal="left"/>
    </xf>
    <xf numFmtId="2" fontId="23" fillId="0" borderId="8" xfId="0" applyNumberFormat="1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2" fontId="18" fillId="0" borderId="8" xfId="2" applyNumberFormat="1" applyFont="1" applyBorder="1" applyAlignment="1">
      <alignment horizontal="left"/>
    </xf>
    <xf numFmtId="2" fontId="23" fillId="0" borderId="8" xfId="0" applyNumberFormat="1" applyFont="1" applyFill="1" applyBorder="1" applyAlignment="1">
      <alignment horizontal="left"/>
    </xf>
    <xf numFmtId="2" fontId="23" fillId="0" borderId="6" xfId="1" applyNumberFormat="1" applyFont="1" applyBorder="1" applyAlignment="1">
      <alignment horizontal="left"/>
    </xf>
    <xf numFmtId="2" fontId="23" fillId="0" borderId="8" xfId="1" applyNumberFormat="1" applyFont="1" applyBorder="1" applyAlignment="1">
      <alignment horizontal="left"/>
    </xf>
    <xf numFmtId="2" fontId="24" fillId="0" borderId="9" xfId="0" applyNumberFormat="1" applyFont="1" applyBorder="1" applyAlignment="1">
      <alignment horizontal="left"/>
    </xf>
    <xf numFmtId="2" fontId="23" fillId="0" borderId="28" xfId="1" applyNumberFormat="1" applyFont="1" applyBorder="1" applyAlignment="1">
      <alignment horizontal="left"/>
    </xf>
    <xf numFmtId="2" fontId="24" fillId="0" borderId="27" xfId="0" applyNumberFormat="1" applyFont="1" applyBorder="1" applyAlignment="1">
      <alignment horizontal="left"/>
    </xf>
    <xf numFmtId="0" fontId="28" fillId="0" borderId="37" xfId="0" applyFont="1" applyBorder="1" applyAlignment="1">
      <alignment horizontal="left"/>
    </xf>
    <xf numFmtId="0" fontId="28" fillId="0" borderId="48" xfId="0" applyFont="1" applyBorder="1" applyAlignment="1">
      <alignment horizontal="left"/>
    </xf>
    <xf numFmtId="0" fontId="28" fillId="0" borderId="49" xfId="0" applyFont="1" applyBorder="1" applyAlignment="1">
      <alignment horizontal="left"/>
    </xf>
    <xf numFmtId="1" fontId="26" fillId="0" borderId="48" xfId="0" applyNumberFormat="1" applyFont="1" applyBorder="1" applyAlignment="1">
      <alignment horizontal="left"/>
    </xf>
    <xf numFmtId="1" fontId="26" fillId="0" borderId="17" xfId="0" applyNumberFormat="1" applyFont="1" applyBorder="1" applyAlignment="1">
      <alignment horizontal="left"/>
    </xf>
    <xf numFmtId="1" fontId="28" fillId="0" borderId="18" xfId="1" applyNumberFormat="1" applyFont="1" applyBorder="1" applyAlignment="1">
      <alignment horizontal="left"/>
    </xf>
    <xf numFmtId="0" fontId="25" fillId="0" borderId="30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1" fontId="25" fillId="0" borderId="29" xfId="0" applyNumberFormat="1" applyFont="1" applyBorder="1" applyAlignment="1">
      <alignment horizontal="left"/>
    </xf>
    <xf numFmtId="0" fontId="25" fillId="0" borderId="27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2" fontId="28" fillId="0" borderId="14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1" fontId="19" fillId="0" borderId="14" xfId="0" applyNumberFormat="1" applyFont="1" applyBorder="1" applyAlignment="1">
      <alignment horizontal="left" vertical="center"/>
    </xf>
    <xf numFmtId="1" fontId="18" fillId="0" borderId="5" xfId="0" applyNumberFormat="1" applyFont="1" applyFill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2" fontId="33" fillId="0" borderId="41" xfId="0" applyNumberFormat="1" applyFont="1" applyBorder="1" applyAlignment="1">
      <alignment horizontal="left" vertical="center"/>
    </xf>
    <xf numFmtId="2" fontId="33" fillId="0" borderId="44" xfId="0" applyNumberFormat="1" applyFont="1" applyBorder="1" applyAlignment="1">
      <alignment horizontal="left" vertical="center"/>
    </xf>
    <xf numFmtId="2" fontId="33" fillId="0" borderId="37" xfId="0" applyNumberFormat="1" applyFont="1" applyBorder="1" applyAlignment="1">
      <alignment horizontal="left" vertical="center"/>
    </xf>
    <xf numFmtId="2" fontId="33" fillId="0" borderId="45" xfId="0" applyNumberFormat="1" applyFont="1" applyBorder="1" applyAlignment="1">
      <alignment horizontal="left" vertical="center"/>
    </xf>
    <xf numFmtId="2" fontId="35" fillId="0" borderId="41" xfId="0" applyNumberFormat="1" applyFont="1" applyBorder="1" applyAlignment="1">
      <alignment horizontal="left"/>
    </xf>
    <xf numFmtId="2" fontId="35" fillId="0" borderId="37" xfId="1" applyNumberFormat="1" applyFont="1" applyBorder="1" applyAlignment="1">
      <alignment horizontal="left"/>
    </xf>
    <xf numFmtId="2" fontId="35" fillId="0" borderId="42" xfId="0" applyNumberFormat="1" applyFont="1" applyBorder="1" applyAlignment="1">
      <alignment horizontal="left"/>
    </xf>
    <xf numFmtId="0" fontId="36" fillId="0" borderId="0" xfId="0" applyFont="1" applyAlignment="1">
      <alignment horizontal="left"/>
    </xf>
    <xf numFmtId="0" fontId="32" fillId="0" borderId="51" xfId="0" applyFont="1" applyBorder="1" applyAlignment="1">
      <alignment horizontal="left"/>
    </xf>
    <xf numFmtId="2" fontId="33" fillId="0" borderId="52" xfId="0" applyNumberFormat="1" applyFont="1" applyBorder="1" applyAlignment="1">
      <alignment horizontal="left" vertical="center"/>
    </xf>
    <xf numFmtId="2" fontId="33" fillId="0" borderId="53" xfId="0" applyNumberFormat="1" applyFont="1" applyBorder="1" applyAlignment="1">
      <alignment horizontal="left" vertical="center"/>
    </xf>
    <xf numFmtId="2" fontId="33" fillId="0" borderId="54" xfId="0" applyNumberFormat="1" applyFont="1" applyBorder="1" applyAlignment="1">
      <alignment horizontal="left" vertical="center"/>
    </xf>
    <xf numFmtId="2" fontId="33" fillId="0" borderId="55" xfId="0" applyNumberFormat="1" applyFont="1" applyBorder="1" applyAlignment="1">
      <alignment horizontal="left" vertical="center"/>
    </xf>
    <xf numFmtId="2" fontId="35" fillId="0" borderId="52" xfId="0" applyNumberFormat="1" applyFont="1" applyBorder="1" applyAlignment="1">
      <alignment horizontal="left"/>
    </xf>
    <xf numFmtId="2" fontId="35" fillId="0" borderId="54" xfId="0" applyNumberFormat="1" applyFont="1" applyBorder="1" applyAlignment="1">
      <alignment horizontal="left"/>
    </xf>
    <xf numFmtId="2" fontId="35" fillId="0" borderId="51" xfId="0" applyNumberFormat="1" applyFont="1" applyBorder="1" applyAlignment="1">
      <alignment horizontal="left"/>
    </xf>
    <xf numFmtId="0" fontId="28" fillId="0" borderId="0" xfId="0" applyFont="1"/>
    <xf numFmtId="0" fontId="28" fillId="0" borderId="4" xfId="0" applyFont="1" applyBorder="1"/>
    <xf numFmtId="0" fontId="18" fillId="0" borderId="0" xfId="0" applyFont="1"/>
    <xf numFmtId="0" fontId="20" fillId="0" borderId="14" xfId="0" applyFont="1" applyBorder="1" applyAlignment="1">
      <alignment horizontal="left"/>
    </xf>
    <xf numFmtId="0" fontId="22" fillId="0" borderId="56" xfId="0" applyFont="1" applyBorder="1"/>
    <xf numFmtId="0" fontId="22" fillId="0" borderId="16" xfId="0" applyFont="1" applyBorder="1"/>
    <xf numFmtId="0" fontId="22" fillId="0" borderId="3" xfId="0" applyFont="1" applyBorder="1"/>
    <xf numFmtId="0" fontId="20" fillId="0" borderId="36" xfId="0" applyFont="1" applyBorder="1" applyAlignment="1">
      <alignment horizontal="left"/>
    </xf>
    <xf numFmtId="0" fontId="22" fillId="0" borderId="57" xfId="0" applyFont="1" applyBorder="1"/>
    <xf numFmtId="0" fontId="22" fillId="0" borderId="15" xfId="0" applyFont="1" applyBorder="1"/>
    <xf numFmtId="0" fontId="22" fillId="0" borderId="36" xfId="0" applyFont="1" applyBorder="1"/>
    <xf numFmtId="0" fontId="22" fillId="0" borderId="14" xfId="0" applyFont="1" applyBorder="1"/>
    <xf numFmtId="0" fontId="22" fillId="0" borderId="4" xfId="0" applyFont="1" applyBorder="1"/>
    <xf numFmtId="0" fontId="23" fillId="0" borderId="0" xfId="0" applyFont="1"/>
    <xf numFmtId="0" fontId="37" fillId="0" borderId="0" xfId="0" applyFont="1" applyAlignment="1">
      <alignment horizontal="left"/>
    </xf>
    <xf numFmtId="0" fontId="29" fillId="0" borderId="30" xfId="0" applyFont="1" applyBorder="1" applyAlignment="1">
      <alignment horizontal="left"/>
    </xf>
    <xf numFmtId="0" fontId="29" fillId="0" borderId="47" xfId="0" applyFont="1" applyBorder="1" applyAlignment="1">
      <alignment horizontal="left"/>
    </xf>
    <xf numFmtId="0" fontId="22" fillId="0" borderId="47" xfId="0" applyFont="1" applyBorder="1"/>
    <xf numFmtId="2" fontId="22" fillId="0" borderId="0" xfId="0" applyNumberFormat="1" applyFont="1"/>
    <xf numFmtId="0" fontId="22" fillId="0" borderId="30" xfId="0" applyFont="1" applyBorder="1"/>
    <xf numFmtId="1" fontId="38" fillId="0" borderId="19" xfId="0" applyNumberFormat="1" applyFont="1" applyFill="1" applyBorder="1" applyAlignment="1">
      <alignment horizontal="left" vertical="center"/>
    </xf>
    <xf numFmtId="1" fontId="38" fillId="0" borderId="18" xfId="0" applyNumberFormat="1" applyFont="1" applyFill="1" applyBorder="1" applyAlignment="1">
      <alignment horizontal="left" vertical="center"/>
    </xf>
    <xf numFmtId="1" fontId="38" fillId="0" borderId="20" xfId="0" applyNumberFormat="1" applyFont="1" applyFill="1" applyBorder="1" applyAlignment="1">
      <alignment horizontal="left" vertical="center"/>
    </xf>
    <xf numFmtId="1" fontId="38" fillId="0" borderId="21" xfId="0" applyNumberFormat="1" applyFont="1" applyBorder="1" applyAlignment="1">
      <alignment horizontal="left" vertical="center"/>
    </xf>
    <xf numFmtId="1" fontId="38" fillId="0" borderId="32" xfId="0" applyNumberFormat="1" applyFont="1" applyBorder="1" applyAlignment="1">
      <alignment horizontal="left" vertical="center"/>
    </xf>
    <xf numFmtId="1" fontId="38" fillId="0" borderId="0" xfId="0" applyNumberFormat="1" applyFont="1" applyFill="1" applyAlignment="1">
      <alignment horizontal="left"/>
    </xf>
    <xf numFmtId="1" fontId="38" fillId="0" borderId="1" xfId="0" applyNumberFormat="1" applyFont="1" applyBorder="1" applyAlignment="1">
      <alignment horizontal="left" vertical="center"/>
    </xf>
    <xf numFmtId="1" fontId="38" fillId="0" borderId="2" xfId="0" applyNumberFormat="1" applyFont="1" applyBorder="1" applyAlignment="1">
      <alignment horizontal="left" vertical="center"/>
    </xf>
    <xf numFmtId="1" fontId="38" fillId="0" borderId="3" xfId="0" applyNumberFormat="1" applyFont="1" applyBorder="1" applyAlignment="1">
      <alignment horizontal="left" vertical="center"/>
    </xf>
    <xf numFmtId="1" fontId="38" fillId="0" borderId="4" xfId="0" applyNumberFormat="1" applyFont="1" applyBorder="1" applyAlignment="1">
      <alignment horizontal="left" vertical="center"/>
    </xf>
    <xf numFmtId="1" fontId="38" fillId="0" borderId="14" xfId="0" applyNumberFormat="1" applyFont="1" applyBorder="1" applyAlignment="1">
      <alignment horizontal="left" vertical="center"/>
    </xf>
    <xf numFmtId="1" fontId="39" fillId="0" borderId="0" xfId="0" applyNumberFormat="1" applyFont="1" applyAlignment="1">
      <alignment horizontal="left"/>
    </xf>
    <xf numFmtId="1" fontId="39" fillId="0" borderId="2" xfId="0" applyNumberFormat="1" applyFont="1" applyBorder="1" applyAlignment="1">
      <alignment horizontal="left" vertical="center"/>
    </xf>
    <xf numFmtId="1" fontId="39" fillId="0" borderId="3" xfId="0" applyNumberFormat="1" applyFont="1" applyBorder="1" applyAlignment="1">
      <alignment horizontal="left" vertical="center"/>
    </xf>
    <xf numFmtId="1" fontId="39" fillId="0" borderId="4" xfId="0" applyNumberFormat="1" applyFont="1" applyBorder="1" applyAlignment="1">
      <alignment horizontal="left" vertical="center"/>
    </xf>
    <xf numFmtId="1" fontId="19" fillId="0" borderId="9" xfId="0" applyNumberFormat="1" applyFont="1" applyBorder="1" applyAlignment="1">
      <alignment horizontal="left" vertical="center"/>
    </xf>
    <xf numFmtId="1" fontId="19" fillId="0" borderId="6" xfId="0" applyNumberFormat="1" applyFont="1" applyBorder="1" applyAlignment="1">
      <alignment horizontal="left" vertical="center"/>
    </xf>
    <xf numFmtId="1" fontId="19" fillId="0" borderId="8" xfId="0" applyNumberFormat="1" applyFont="1" applyBorder="1" applyAlignment="1">
      <alignment horizontal="left" vertical="center"/>
    </xf>
    <xf numFmtId="1" fontId="18" fillId="0" borderId="6" xfId="0" applyNumberFormat="1" applyFont="1" applyFill="1" applyBorder="1" applyAlignment="1">
      <alignment horizontal="left" vertical="center" shrinkToFit="1"/>
    </xf>
    <xf numFmtId="1" fontId="18" fillId="0" borderId="8" xfId="0" applyNumberFormat="1" applyFont="1" applyFill="1" applyBorder="1" applyAlignment="1">
      <alignment horizontal="left" vertical="center" shrinkToFit="1"/>
    </xf>
    <xf numFmtId="1" fontId="19" fillId="0" borderId="28" xfId="0" applyNumberFormat="1" applyFont="1" applyBorder="1" applyAlignment="1">
      <alignment horizontal="left" vertical="center"/>
    </xf>
    <xf numFmtId="1" fontId="19" fillId="0" borderId="27" xfId="0" applyNumberFormat="1" applyFont="1" applyBorder="1" applyAlignment="1">
      <alignment horizontal="left" vertical="center"/>
    </xf>
    <xf numFmtId="0" fontId="38" fillId="0" borderId="58" xfId="0" applyFont="1" applyBorder="1" applyAlignment="1">
      <alignment horizontal="left"/>
    </xf>
    <xf numFmtId="0" fontId="38" fillId="0" borderId="55" xfId="0" applyFont="1" applyBorder="1" applyAlignment="1">
      <alignment horizontal="left"/>
    </xf>
    <xf numFmtId="0" fontId="28" fillId="0" borderId="9" xfId="0" applyFont="1" applyBorder="1"/>
    <xf numFmtId="0" fontId="28" fillId="0" borderId="0" xfId="0" applyFont="1" applyBorder="1"/>
    <xf numFmtId="0" fontId="28" fillId="0" borderId="20" xfId="0" applyFont="1" applyBorder="1"/>
    <xf numFmtId="1" fontId="27" fillId="0" borderId="14" xfId="0" applyNumberFormat="1" applyFont="1" applyBorder="1" applyAlignment="1">
      <alignment horizontal="left"/>
    </xf>
    <xf numFmtId="1" fontId="20" fillId="0" borderId="14" xfId="0" applyNumberFormat="1" applyFont="1" applyBorder="1" applyAlignment="1">
      <alignment horizontal="left"/>
    </xf>
    <xf numFmtId="1" fontId="20" fillId="0" borderId="59" xfId="0" applyNumberFormat="1" applyFont="1" applyBorder="1" applyAlignment="1">
      <alignment horizontal="left"/>
    </xf>
    <xf numFmtId="1" fontId="26" fillId="0" borderId="45" xfId="0" applyNumberFormat="1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left"/>
    </xf>
    <xf numFmtId="0" fontId="38" fillId="0" borderId="25" xfId="0" applyFont="1" applyBorder="1" applyAlignment="1">
      <alignment horizontal="left"/>
    </xf>
    <xf numFmtId="0" fontId="41" fillId="0" borderId="0" xfId="0" applyFont="1"/>
    <xf numFmtId="0" fontId="42" fillId="0" borderId="0" xfId="0" applyFont="1"/>
    <xf numFmtId="0" fontId="40" fillId="0" borderId="59" xfId="0" applyFont="1" applyBorder="1" applyAlignment="1">
      <alignment horizontal="left"/>
    </xf>
    <xf numFmtId="1" fontId="40" fillId="0" borderId="12" xfId="0" applyNumberFormat="1" applyFont="1" applyBorder="1" applyAlignment="1">
      <alignment horizontal="left" vertical="center"/>
    </xf>
    <xf numFmtId="1" fontId="40" fillId="0" borderId="60" xfId="0" applyNumberFormat="1" applyFont="1" applyBorder="1" applyAlignment="1">
      <alignment horizontal="left" vertical="center"/>
    </xf>
    <xf numFmtId="1" fontId="40" fillId="0" borderId="61" xfId="0" applyNumberFormat="1" applyFont="1" applyBorder="1" applyAlignment="1">
      <alignment horizontal="left" vertical="center"/>
    </xf>
    <xf numFmtId="1" fontId="40" fillId="0" borderId="62" xfId="0" applyNumberFormat="1" applyFont="1" applyBorder="1" applyAlignment="1">
      <alignment horizontal="left"/>
    </xf>
    <xf numFmtId="1" fontId="40" fillId="0" borderId="59" xfId="0" applyNumberFormat="1" applyFont="1" applyBorder="1" applyAlignment="1">
      <alignment horizontal="left"/>
    </xf>
    <xf numFmtId="2" fontId="40" fillId="0" borderId="62" xfId="0" applyNumberFormat="1" applyFont="1" applyBorder="1" applyAlignment="1">
      <alignment horizontal="left"/>
    </xf>
    <xf numFmtId="2" fontId="40" fillId="0" borderId="59" xfId="0" applyNumberFormat="1" applyFont="1" applyBorder="1" applyAlignment="1">
      <alignment horizontal="left"/>
    </xf>
    <xf numFmtId="1" fontId="40" fillId="0" borderId="11" xfId="0" applyNumberFormat="1" applyFont="1" applyFill="1" applyBorder="1" applyAlignment="1">
      <alignment horizontal="left"/>
    </xf>
    <xf numFmtId="1" fontId="40" fillId="0" borderId="12" xfId="1" applyNumberFormat="1" applyFont="1" applyBorder="1" applyAlignment="1">
      <alignment horizontal="left"/>
    </xf>
    <xf numFmtId="0" fontId="40" fillId="0" borderId="0" xfId="0" applyFont="1" applyAlignment="1">
      <alignment horizontal="left"/>
    </xf>
    <xf numFmtId="1" fontId="43" fillId="0" borderId="0" xfId="0" applyNumberFormat="1" applyFont="1"/>
    <xf numFmtId="1" fontId="28" fillId="0" borderId="5" xfId="2" applyNumberFormat="1" applyFont="1" applyBorder="1" applyAlignment="1">
      <alignment horizontal="left"/>
    </xf>
    <xf numFmtId="1" fontId="3" fillId="0" borderId="5" xfId="0" applyNumberFormat="1" applyFont="1" applyBorder="1" applyAlignment="1">
      <alignment horizontal="left"/>
    </xf>
    <xf numFmtId="1" fontId="28" fillId="0" borderId="22" xfId="2" applyNumberFormat="1" applyFont="1" applyBorder="1" applyAlignment="1">
      <alignment horizontal="left"/>
    </xf>
    <xf numFmtId="1" fontId="25" fillId="0" borderId="22" xfId="0" applyNumberFormat="1" applyFont="1" applyBorder="1" applyAlignment="1">
      <alignment horizontal="left"/>
    </xf>
    <xf numFmtId="1" fontId="28" fillId="0" borderId="23" xfId="0" applyNumberFormat="1" applyFont="1" applyBorder="1" applyAlignment="1">
      <alignment horizontal="left"/>
    </xf>
    <xf numFmtId="1" fontId="28" fillId="0" borderId="63" xfId="0" applyNumberFormat="1" applyFont="1" applyBorder="1" applyAlignment="1">
      <alignment horizontal="left"/>
    </xf>
    <xf numFmtId="1" fontId="40" fillId="0" borderId="0" xfId="0" applyNumberFormat="1" applyFont="1" applyAlignment="1">
      <alignment horizontal="left"/>
    </xf>
    <xf numFmtId="1" fontId="26" fillId="0" borderId="32" xfId="0" applyNumberFormat="1" applyFont="1" applyBorder="1" applyAlignment="1">
      <alignment horizontal="left"/>
    </xf>
    <xf numFmtId="1" fontId="40" fillId="0" borderId="54" xfId="0" applyNumberFormat="1" applyFont="1" applyBorder="1" applyAlignment="1">
      <alignment horizontal="left" vertical="center"/>
    </xf>
    <xf numFmtId="1" fontId="40" fillId="0" borderId="51" xfId="0" applyNumberFormat="1" applyFont="1" applyBorder="1" applyAlignment="1">
      <alignment horizontal="left" vertical="center"/>
    </xf>
    <xf numFmtId="1" fontId="40" fillId="0" borderId="52" xfId="0" applyNumberFormat="1" applyFont="1" applyBorder="1" applyAlignment="1">
      <alignment horizontal="left" vertical="center"/>
    </xf>
    <xf numFmtId="1" fontId="40" fillId="0" borderId="54" xfId="0" applyNumberFormat="1" applyFont="1" applyBorder="1" applyAlignment="1">
      <alignment horizontal="left"/>
    </xf>
    <xf numFmtId="1" fontId="40" fillId="0" borderId="52" xfId="0" applyNumberFormat="1" applyFont="1" applyBorder="1" applyAlignment="1">
      <alignment horizontal="left"/>
    </xf>
    <xf numFmtId="1" fontId="40" fillId="0" borderId="52" xfId="1" applyNumberFormat="1" applyFont="1" applyBorder="1" applyAlignment="1">
      <alignment horizontal="left"/>
    </xf>
    <xf numFmtId="1" fontId="40" fillId="0" borderId="53" xfId="1" applyNumberFormat="1" applyFont="1" applyBorder="1" applyAlignment="1">
      <alignment horizontal="left"/>
    </xf>
    <xf numFmtId="1" fontId="40" fillId="0" borderId="51" xfId="0" applyNumberFormat="1" applyFont="1" applyBorder="1" applyAlignment="1">
      <alignment horizontal="left"/>
    </xf>
    <xf numFmtId="1" fontId="38" fillId="0" borderId="58" xfId="0" applyNumberFormat="1" applyFont="1" applyBorder="1" applyAlignment="1">
      <alignment horizontal="left"/>
    </xf>
    <xf numFmtId="1" fontId="44" fillId="0" borderId="53" xfId="0" applyNumberFormat="1" applyFont="1" applyBorder="1" applyAlignment="1">
      <alignment horizontal="left"/>
    </xf>
    <xf numFmtId="1" fontId="44" fillId="0" borderId="55" xfId="0" applyNumberFormat="1" applyFont="1" applyBorder="1" applyAlignment="1">
      <alignment horizontal="left"/>
    </xf>
    <xf numFmtId="1" fontId="44" fillId="0" borderId="53" xfId="0" applyNumberFormat="1" applyFont="1" applyFill="1" applyBorder="1" applyAlignment="1">
      <alignment horizontal="left"/>
    </xf>
    <xf numFmtId="1" fontId="44" fillId="0" borderId="0" xfId="0" applyNumberFormat="1" applyFont="1" applyAlignment="1">
      <alignment horizontal="left"/>
    </xf>
    <xf numFmtId="1" fontId="26" fillId="0" borderId="31" xfId="0" applyNumberFormat="1" applyFont="1" applyBorder="1" applyAlignment="1">
      <alignment horizontal="left"/>
    </xf>
    <xf numFmtId="0" fontId="40" fillId="0" borderId="64" xfId="0" applyFont="1" applyBorder="1" applyAlignment="1">
      <alignment horizontal="left"/>
    </xf>
    <xf numFmtId="0" fontId="40" fillId="0" borderId="24" xfId="0" applyFont="1" applyBorder="1" applyAlignment="1">
      <alignment horizontal="left"/>
    </xf>
    <xf numFmtId="1" fontId="43" fillId="0" borderId="0" xfId="0" applyNumberFormat="1" applyFont="1" applyAlignment="1">
      <alignment horizontal="left"/>
    </xf>
    <xf numFmtId="1" fontId="23" fillId="0" borderId="5" xfId="1" applyNumberFormat="1" applyFont="1" applyBorder="1" applyAlignment="1">
      <alignment horizontal="left"/>
    </xf>
    <xf numFmtId="1" fontId="24" fillId="0" borderId="30" xfId="0" applyNumberFormat="1" applyFont="1" applyBorder="1" applyAlignment="1">
      <alignment horizontal="left" vertical="center"/>
    </xf>
    <xf numFmtId="1" fontId="24" fillId="0" borderId="31" xfId="0" applyNumberFormat="1" applyFont="1" applyBorder="1" applyAlignment="1">
      <alignment horizontal="left" vertical="center"/>
    </xf>
    <xf numFmtId="1" fontId="40" fillId="0" borderId="65" xfId="0" applyNumberFormat="1" applyFont="1" applyBorder="1" applyAlignment="1">
      <alignment horizontal="left" vertical="center"/>
    </xf>
    <xf numFmtId="1" fontId="40" fillId="0" borderId="55" xfId="0" applyNumberFormat="1" applyFont="1" applyBorder="1" applyAlignment="1">
      <alignment horizontal="left"/>
    </xf>
    <xf numFmtId="0" fontId="43" fillId="0" borderId="0" xfId="0" applyFont="1" applyAlignment="1">
      <alignment horizontal="left"/>
    </xf>
    <xf numFmtId="0" fontId="40" fillId="0" borderId="55" xfId="0" applyFont="1" applyBorder="1" applyAlignment="1">
      <alignment horizontal="left"/>
    </xf>
    <xf numFmtId="0" fontId="43" fillId="0" borderId="0" xfId="0" applyFont="1"/>
    <xf numFmtId="0" fontId="38" fillId="0" borderId="42" xfId="0" applyFont="1" applyBorder="1" applyAlignment="1">
      <alignment horizontal="left"/>
    </xf>
    <xf numFmtId="0" fontId="39" fillId="0" borderId="51" xfId="0" applyFont="1" applyBorder="1" applyAlignment="1">
      <alignment horizontal="left" vertical="justify" wrapText="1"/>
    </xf>
    <xf numFmtId="0" fontId="38" fillId="0" borderId="58" xfId="0" applyFont="1" applyFill="1" applyBorder="1" applyAlignment="1">
      <alignment horizontal="left" vertical="justify" wrapText="1"/>
    </xf>
    <xf numFmtId="0" fontId="38" fillId="0" borderId="51" xfId="0" applyFont="1" applyBorder="1" applyAlignment="1">
      <alignment horizontal="left" vertical="justify" wrapText="1"/>
    </xf>
    <xf numFmtId="0" fontId="38" fillId="0" borderId="51" xfId="0" applyFont="1" applyFill="1" applyBorder="1" applyAlignment="1">
      <alignment horizontal="left" vertical="justify" wrapText="1"/>
    </xf>
    <xf numFmtId="0" fontId="39" fillId="0" borderId="0" xfId="0" applyFont="1" applyAlignment="1">
      <alignment horizontal="left" vertical="justify" wrapText="1"/>
    </xf>
    <xf numFmtId="2" fontId="38" fillId="0" borderId="51" xfId="0" applyNumberFormat="1" applyFont="1" applyBorder="1" applyAlignment="1">
      <alignment horizontal="left"/>
    </xf>
    <xf numFmtId="2" fontId="38" fillId="0" borderId="58" xfId="0" applyNumberFormat="1" applyFont="1" applyBorder="1" applyAlignment="1">
      <alignment horizontal="left" vertical="center"/>
    </xf>
    <xf numFmtId="2" fontId="38" fillId="0" borderId="58" xfId="0" applyNumberFormat="1" applyFont="1" applyBorder="1" applyAlignment="1">
      <alignment horizontal="left"/>
    </xf>
    <xf numFmtId="2" fontId="38" fillId="0" borderId="58" xfId="2" applyNumberFormat="1" applyFont="1" applyBorder="1" applyAlignment="1">
      <alignment horizontal="left"/>
    </xf>
    <xf numFmtId="2" fontId="38" fillId="0" borderId="58" xfId="0" applyNumberFormat="1" applyFont="1" applyBorder="1" applyAlignment="1">
      <alignment horizontal="left" wrapText="1"/>
    </xf>
    <xf numFmtId="2" fontId="38" fillId="0" borderId="58" xfId="0" applyNumberFormat="1" applyFont="1" applyFill="1" applyBorder="1" applyAlignment="1">
      <alignment horizontal="left"/>
    </xf>
    <xf numFmtId="2" fontId="38" fillId="0" borderId="51" xfId="1" applyNumberFormat="1" applyFont="1" applyBorder="1" applyAlignment="1">
      <alignment horizontal="left"/>
    </xf>
    <xf numFmtId="2" fontId="38" fillId="0" borderId="55" xfId="0" applyNumberFormat="1" applyFont="1" applyBorder="1" applyAlignment="1">
      <alignment horizontal="left"/>
    </xf>
    <xf numFmtId="2" fontId="3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" fontId="40" fillId="0" borderId="40" xfId="0" applyNumberFormat="1" applyFont="1" applyBorder="1" applyAlignment="1">
      <alignment horizontal="left"/>
    </xf>
    <xf numFmtId="1" fontId="28" fillId="0" borderId="66" xfId="0" applyNumberFormat="1" applyFont="1" applyBorder="1" applyAlignment="1">
      <alignment horizontal="left"/>
    </xf>
    <xf numFmtId="1" fontId="28" fillId="0" borderId="40" xfId="0" applyNumberFormat="1" applyFont="1" applyBorder="1" applyAlignment="1">
      <alignment horizontal="left"/>
    </xf>
    <xf numFmtId="1" fontId="40" fillId="0" borderId="66" xfId="0" applyNumberFormat="1" applyFont="1" applyBorder="1" applyAlignment="1">
      <alignment horizontal="left" vertical="center"/>
    </xf>
    <xf numFmtId="1" fontId="28" fillId="0" borderId="67" xfId="0" applyNumberFormat="1" applyFont="1" applyBorder="1" applyAlignment="1">
      <alignment horizontal="left"/>
    </xf>
    <xf numFmtId="1" fontId="28" fillId="0" borderId="49" xfId="0" applyNumberFormat="1" applyFont="1" applyBorder="1" applyAlignment="1">
      <alignment horizontal="left"/>
    </xf>
    <xf numFmtId="1" fontId="40" fillId="0" borderId="38" xfId="0" applyNumberFormat="1" applyFont="1" applyBorder="1" applyAlignment="1">
      <alignment horizontal="left" vertical="center"/>
    </xf>
    <xf numFmtId="1" fontId="40" fillId="0" borderId="40" xfId="0" applyNumberFormat="1" applyFont="1" applyBorder="1" applyAlignment="1">
      <alignment horizontal="left" vertical="center"/>
    </xf>
    <xf numFmtId="0" fontId="28" fillId="0" borderId="65" xfId="0" applyFont="1" applyBorder="1" applyAlignment="1">
      <alignment horizontal="left"/>
    </xf>
    <xf numFmtId="0" fontId="40" fillId="0" borderId="58" xfId="0" applyFont="1" applyBorder="1" applyAlignment="1">
      <alignment horizontal="left"/>
    </xf>
    <xf numFmtId="0" fontId="26" fillId="0" borderId="64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2" fontId="40" fillId="0" borderId="40" xfId="0" applyNumberFormat="1" applyFont="1" applyBorder="1" applyAlignment="1">
      <alignment horizontal="left" vertical="center"/>
    </xf>
    <xf numFmtId="0" fontId="28" fillId="0" borderId="66" xfId="0" applyFont="1" applyBorder="1" applyAlignment="1">
      <alignment horizontal="left"/>
    </xf>
    <xf numFmtId="1" fontId="26" fillId="0" borderId="45" xfId="0" applyNumberFormat="1" applyFont="1" applyFill="1" applyBorder="1" applyAlignment="1">
      <alignment horizontal="center" vertical="justify" wrapText="1"/>
    </xf>
    <xf numFmtId="1" fontId="40" fillId="0" borderId="51" xfId="0" applyNumberFormat="1" applyFont="1" applyBorder="1" applyAlignment="1">
      <alignment horizontal="center" vertical="justify" wrapText="1"/>
    </xf>
    <xf numFmtId="1" fontId="26" fillId="0" borderId="42" xfId="0" applyNumberFormat="1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left"/>
    </xf>
    <xf numFmtId="0" fontId="28" fillId="0" borderId="18" xfId="0" applyFont="1" applyBorder="1" applyAlignment="1">
      <alignment horizontal="left"/>
    </xf>
    <xf numFmtId="0" fontId="28" fillId="0" borderId="20" xfId="0" applyFont="1" applyBorder="1" applyAlignment="1">
      <alignment horizontal="left"/>
    </xf>
    <xf numFmtId="1" fontId="23" fillId="0" borderId="3" xfId="2" applyNumberFormat="1" applyFont="1" applyBorder="1" applyAlignment="1">
      <alignment horizontal="left"/>
    </xf>
    <xf numFmtId="1" fontId="26" fillId="0" borderId="42" xfId="0" applyNumberFormat="1" applyFont="1" applyFill="1" applyBorder="1" applyAlignment="1">
      <alignment horizontal="center" vertical="justify" wrapText="1"/>
    </xf>
    <xf numFmtId="2" fontId="19" fillId="0" borderId="27" xfId="0" applyNumberFormat="1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left"/>
    </xf>
    <xf numFmtId="2" fontId="19" fillId="0" borderId="3" xfId="2" applyNumberFormat="1" applyFont="1" applyBorder="1" applyAlignment="1">
      <alignment horizontal="left"/>
    </xf>
    <xf numFmtId="2" fontId="18" fillId="0" borderId="29" xfId="0" applyNumberFormat="1" applyFont="1" applyBorder="1" applyAlignment="1">
      <alignment horizontal="left"/>
    </xf>
    <xf numFmtId="2" fontId="18" fillId="0" borderId="22" xfId="0" applyNumberFormat="1" applyFont="1" applyBorder="1" applyAlignment="1">
      <alignment horizontal="left"/>
    </xf>
    <xf numFmtId="2" fontId="19" fillId="0" borderId="39" xfId="0" applyNumberFormat="1" applyFont="1" applyBorder="1" applyAlignment="1">
      <alignment horizontal="left"/>
    </xf>
    <xf numFmtId="2" fontId="18" fillId="0" borderId="28" xfId="2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3" fillId="0" borderId="29" xfId="1" applyNumberFormat="1" applyFont="1" applyBorder="1" applyAlignment="1">
      <alignment horizontal="left"/>
    </xf>
    <xf numFmtId="2" fontId="23" fillId="0" borderId="5" xfId="1" applyNumberFormat="1" applyFont="1" applyBorder="1" applyAlignment="1">
      <alignment horizontal="left"/>
    </xf>
    <xf numFmtId="2" fontId="23" fillId="0" borderId="22" xfId="1" applyNumberFormat="1" applyFont="1" applyBorder="1" applyAlignment="1">
      <alignment horizontal="left"/>
    </xf>
    <xf numFmtId="2" fontId="23" fillId="0" borderId="39" xfId="1" applyNumberFormat="1" applyFont="1" applyBorder="1" applyAlignment="1">
      <alignment horizontal="left"/>
    </xf>
    <xf numFmtId="1" fontId="18" fillId="0" borderId="18" xfId="0" applyNumberFormat="1" applyFont="1" applyBorder="1" applyAlignment="1">
      <alignment horizontal="left" vertical="center"/>
    </xf>
    <xf numFmtId="1" fontId="18" fillId="0" borderId="18" xfId="0" applyNumberFormat="1" applyFont="1" applyBorder="1" applyAlignment="1">
      <alignment horizontal="left"/>
    </xf>
    <xf numFmtId="1" fontId="18" fillId="0" borderId="22" xfId="0" applyNumberFormat="1" applyFont="1" applyBorder="1" applyAlignment="1">
      <alignment horizontal="left"/>
    </xf>
    <xf numFmtId="3" fontId="20" fillId="0" borderId="19" xfId="0" applyNumberFormat="1" applyFont="1" applyBorder="1" applyAlignment="1">
      <alignment horizontal="left"/>
    </xf>
    <xf numFmtId="3" fontId="20" fillId="0" borderId="18" xfId="0" applyNumberFormat="1" applyFont="1" applyBorder="1" applyAlignment="1">
      <alignment horizontal="left"/>
    </xf>
    <xf numFmtId="1" fontId="18" fillId="0" borderId="19" xfId="0" applyNumberFormat="1" applyFont="1" applyFill="1" applyBorder="1" applyAlignment="1">
      <alignment horizontal="left"/>
    </xf>
    <xf numFmtId="1" fontId="18" fillId="0" borderId="18" xfId="0" applyNumberFormat="1" applyFont="1" applyFill="1" applyBorder="1" applyAlignment="1">
      <alignment horizontal="left"/>
    </xf>
    <xf numFmtId="1" fontId="18" fillId="0" borderId="19" xfId="1" applyNumberFormat="1" applyFont="1" applyBorder="1" applyAlignment="1">
      <alignment horizontal="left"/>
    </xf>
    <xf numFmtId="1" fontId="18" fillId="0" borderId="18" xfId="1" applyNumberFormat="1" applyFont="1" applyBorder="1" applyAlignment="1">
      <alignment horizontal="left"/>
    </xf>
    <xf numFmtId="1" fontId="19" fillId="0" borderId="49" xfId="0" applyNumberFormat="1" applyFont="1" applyBorder="1" applyAlignment="1">
      <alignment horizontal="left"/>
    </xf>
    <xf numFmtId="1" fontId="19" fillId="0" borderId="48" xfId="0" applyNumberFormat="1" applyFont="1" applyBorder="1" applyAlignment="1">
      <alignment horizontal="left"/>
    </xf>
    <xf numFmtId="1" fontId="19" fillId="0" borderId="17" xfId="0" applyNumberFormat="1" applyFont="1" applyBorder="1" applyAlignment="1">
      <alignment horizontal="left"/>
    </xf>
    <xf numFmtId="1" fontId="33" fillId="0" borderId="54" xfId="0" applyNumberFormat="1" applyFont="1" applyBorder="1" applyAlignment="1">
      <alignment horizontal="left" vertical="center"/>
    </xf>
    <xf numFmtId="1" fontId="33" fillId="0" borderId="58" xfId="0" applyNumberFormat="1" applyFont="1" applyBorder="1" applyAlignment="1">
      <alignment horizontal="left" vertical="center"/>
    </xf>
    <xf numFmtId="1" fontId="33" fillId="0" borderId="65" xfId="0" applyNumberFormat="1" applyFont="1" applyBorder="1" applyAlignment="1">
      <alignment horizontal="left" vertical="center"/>
    </xf>
    <xf numFmtId="1" fontId="33" fillId="0" borderId="66" xfId="0" applyNumberFormat="1" applyFont="1" applyBorder="1" applyAlignment="1">
      <alignment horizontal="left" vertical="center"/>
    </xf>
    <xf numFmtId="1" fontId="33" fillId="0" borderId="52" xfId="0" applyNumberFormat="1" applyFont="1" applyBorder="1" applyAlignment="1">
      <alignment horizontal="left" vertical="center"/>
    </xf>
    <xf numFmtId="1" fontId="33" fillId="0" borderId="51" xfId="0" applyNumberFormat="1" applyFont="1" applyBorder="1" applyAlignment="1">
      <alignment horizontal="left" vertical="center"/>
    </xf>
    <xf numFmtId="1" fontId="33" fillId="0" borderId="65" xfId="0" applyNumberFormat="1" applyFont="1" applyBorder="1" applyAlignment="1">
      <alignment horizontal="left"/>
    </xf>
    <xf numFmtId="1" fontId="33" fillId="0" borderId="66" xfId="0" applyNumberFormat="1" applyFont="1" applyBorder="1" applyAlignment="1">
      <alignment horizontal="left"/>
    </xf>
    <xf numFmtId="1" fontId="31" fillId="0" borderId="52" xfId="1" applyNumberFormat="1" applyFont="1" applyBorder="1" applyAlignment="1">
      <alignment horizontal="left"/>
    </xf>
    <xf numFmtId="1" fontId="31" fillId="0" borderId="55" xfId="1" applyNumberFormat="1" applyFont="1" applyBorder="1" applyAlignment="1">
      <alignment horizontal="left"/>
    </xf>
    <xf numFmtId="1" fontId="33" fillId="0" borderId="52" xfId="0" applyNumberFormat="1" applyFont="1" applyBorder="1" applyAlignment="1">
      <alignment horizontal="left"/>
    </xf>
    <xf numFmtId="1" fontId="33" fillId="0" borderId="55" xfId="0" applyNumberFormat="1" applyFont="1" applyBorder="1" applyAlignment="1">
      <alignment horizontal="left"/>
    </xf>
    <xf numFmtId="1" fontId="19" fillId="0" borderId="21" xfId="0" applyNumberFormat="1" applyFont="1" applyBorder="1" applyAlignment="1">
      <alignment horizontal="left" vertical="center"/>
    </xf>
    <xf numFmtId="1" fontId="19" fillId="0" borderId="23" xfId="0" applyNumberFormat="1" applyFont="1" applyBorder="1" applyAlignment="1">
      <alignment horizontal="left" vertical="center"/>
    </xf>
    <xf numFmtId="1" fontId="19" fillId="0" borderId="20" xfId="0" applyNumberFormat="1" applyFont="1" applyBorder="1" applyAlignment="1">
      <alignment horizontal="left"/>
    </xf>
    <xf numFmtId="1" fontId="1" fillId="0" borderId="19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left"/>
    </xf>
    <xf numFmtId="1" fontId="4" fillId="0" borderId="19" xfId="2" applyNumberFormat="1" applyFont="1" applyBorder="1" applyAlignment="1">
      <alignment horizontal="left"/>
    </xf>
    <xf numFmtId="1" fontId="4" fillId="0" borderId="18" xfId="2" applyNumberFormat="1" applyFont="1" applyBorder="1" applyAlignment="1">
      <alignment horizontal="left"/>
    </xf>
    <xf numFmtId="1" fontId="4" fillId="0" borderId="19" xfId="0" applyNumberFormat="1" applyFont="1" applyBorder="1" applyAlignment="1">
      <alignment horizontal="left"/>
    </xf>
    <xf numFmtId="1" fontId="4" fillId="0" borderId="18" xfId="0" applyNumberFormat="1" applyFont="1" applyBorder="1" applyAlignment="1">
      <alignment horizontal="left"/>
    </xf>
    <xf numFmtId="1" fontId="18" fillId="0" borderId="19" xfId="0" applyNumberFormat="1" applyFont="1" applyFill="1" applyBorder="1" applyAlignment="1">
      <alignment horizontal="left" vertical="top" wrapText="1"/>
    </xf>
    <xf numFmtId="1" fontId="18" fillId="0" borderId="18" xfId="0" applyNumberFormat="1" applyFont="1" applyFill="1" applyBorder="1" applyAlignment="1">
      <alignment horizontal="left" vertical="top" wrapText="1"/>
    </xf>
    <xf numFmtId="1" fontId="4" fillId="0" borderId="22" xfId="0" applyNumberFormat="1" applyFont="1" applyFill="1" applyBorder="1" applyAlignment="1">
      <alignment horizontal="left"/>
    </xf>
    <xf numFmtId="1" fontId="4" fillId="0" borderId="18" xfId="0" applyNumberFormat="1" applyFont="1" applyFill="1" applyBorder="1" applyAlignment="1">
      <alignment horizontal="left"/>
    </xf>
    <xf numFmtId="1" fontId="4" fillId="0" borderId="19" xfId="1" applyNumberFormat="1" applyFont="1" applyBorder="1" applyAlignment="1">
      <alignment horizontal="left"/>
    </xf>
    <xf numFmtId="1" fontId="4" fillId="0" borderId="18" xfId="1" applyNumberFormat="1" applyFont="1" applyBorder="1" applyAlignment="1">
      <alignment horizontal="left"/>
    </xf>
    <xf numFmtId="1" fontId="19" fillId="0" borderId="20" xfId="0" applyNumberFormat="1" applyFont="1" applyBorder="1" applyAlignment="1">
      <alignment horizontal="left" vertical="center"/>
    </xf>
    <xf numFmtId="1" fontId="19" fillId="0" borderId="32" xfId="0" applyNumberFormat="1" applyFont="1" applyBorder="1" applyAlignment="1">
      <alignment horizontal="left" vertical="center"/>
    </xf>
    <xf numFmtId="1" fontId="26" fillId="0" borderId="45" xfId="0" applyNumberFormat="1" applyFont="1" applyFill="1" applyBorder="1" applyAlignment="1">
      <alignment horizontal="center" vertical="center" wrapText="1"/>
    </xf>
    <xf numFmtId="0" fontId="45" fillId="0" borderId="30" xfId="0" applyFont="1" applyBorder="1"/>
    <xf numFmtId="0" fontId="45" fillId="0" borderId="0" xfId="0" applyFont="1"/>
    <xf numFmtId="1" fontId="23" fillId="0" borderId="1" xfId="0" applyNumberFormat="1" applyFont="1" applyFill="1" applyBorder="1" applyAlignment="1">
      <alignment horizontal="left"/>
    </xf>
    <xf numFmtId="1" fontId="40" fillId="0" borderId="12" xfId="0" applyNumberFormat="1" applyFont="1" applyBorder="1" applyAlignment="1">
      <alignment horizontal="left"/>
    </xf>
    <xf numFmtId="3" fontId="40" fillId="0" borderId="12" xfId="0" applyNumberFormat="1" applyFont="1" applyBorder="1" applyAlignment="1">
      <alignment horizontal="left"/>
    </xf>
    <xf numFmtId="1" fontId="23" fillId="0" borderId="30" xfId="0" applyNumberFormat="1" applyFont="1" applyBorder="1" applyAlignment="1">
      <alignment horizontal="left" vertical="center"/>
    </xf>
    <xf numFmtId="1" fontId="23" fillId="0" borderId="14" xfId="0" applyNumberFormat="1" applyFont="1" applyBorder="1" applyAlignment="1">
      <alignment horizontal="left" vertical="center"/>
    </xf>
    <xf numFmtId="0" fontId="24" fillId="0" borderId="68" xfId="0" applyFont="1" applyBorder="1" applyAlignment="1">
      <alignment horizontal="center" vertical="center"/>
    </xf>
    <xf numFmtId="0" fontId="25" fillId="0" borderId="31" xfId="0" applyFont="1" applyBorder="1" applyAlignment="1">
      <alignment horizontal="left"/>
    </xf>
    <xf numFmtId="0" fontId="22" fillId="0" borderId="31" xfId="0" applyFont="1" applyBorder="1"/>
    <xf numFmtId="0" fontId="46" fillId="0" borderId="58" xfId="0" applyFont="1" applyBorder="1" applyAlignment="1">
      <alignment horizontal="center" vertical="center"/>
    </xf>
    <xf numFmtId="2" fontId="18" fillId="0" borderId="69" xfId="0" applyNumberFormat="1" applyFont="1" applyBorder="1" applyAlignment="1">
      <alignment horizontal="left"/>
    </xf>
    <xf numFmtId="1" fontId="19" fillId="0" borderId="70" xfId="0" applyNumberFormat="1" applyFont="1" applyBorder="1" applyAlignment="1">
      <alignment horizontal="left"/>
    </xf>
    <xf numFmtId="1" fontId="24" fillId="0" borderId="28" xfId="0" applyNumberFormat="1" applyFont="1" applyBorder="1" applyAlignment="1">
      <alignment horizontal="left" vertical="center"/>
    </xf>
    <xf numFmtId="1" fontId="24" fillId="0" borderId="6" xfId="0" applyNumberFormat="1" applyFont="1" applyBorder="1" applyAlignment="1">
      <alignment horizontal="left" vertical="center"/>
    </xf>
    <xf numFmtId="1" fontId="24" fillId="0" borderId="8" xfId="0" applyNumberFormat="1" applyFont="1" applyBorder="1" applyAlignment="1">
      <alignment horizontal="left" vertical="center"/>
    </xf>
    <xf numFmtId="1" fontId="24" fillId="0" borderId="9" xfId="0" applyNumberFormat="1" applyFont="1" applyBorder="1" applyAlignment="1">
      <alignment horizontal="left" vertical="center"/>
    </xf>
    <xf numFmtId="1" fontId="24" fillId="0" borderId="29" xfId="0" applyNumberFormat="1" applyFont="1" applyBorder="1" applyAlignment="1">
      <alignment horizontal="left" vertical="center"/>
    </xf>
    <xf numFmtId="1" fontId="24" fillId="0" borderId="47" xfId="0" applyNumberFormat="1" applyFont="1" applyBorder="1" applyAlignment="1">
      <alignment horizontal="left" vertical="center"/>
    </xf>
    <xf numFmtId="1" fontId="24" fillId="0" borderId="27" xfId="0" applyNumberFormat="1" applyFont="1" applyBorder="1" applyAlignment="1">
      <alignment horizontal="left" vertical="center"/>
    </xf>
    <xf numFmtId="1" fontId="23" fillId="0" borderId="0" xfId="0" applyNumberFormat="1" applyFont="1" applyBorder="1" applyAlignment="1">
      <alignment horizontal="left"/>
    </xf>
    <xf numFmtId="1" fontId="5" fillId="0" borderId="3" xfId="0" applyNumberFormat="1" applyFont="1" applyBorder="1" applyAlignment="1">
      <alignment horizontal="left"/>
    </xf>
    <xf numFmtId="1" fontId="5" fillId="0" borderId="19" xfId="0" applyNumberFormat="1" applyFont="1" applyBorder="1" applyAlignment="1">
      <alignment horizontal="left"/>
    </xf>
    <xf numFmtId="1" fontId="5" fillId="0" borderId="18" xfId="0" applyNumberFormat="1" applyFont="1" applyBorder="1" applyAlignment="1">
      <alignment horizontal="left"/>
    </xf>
    <xf numFmtId="1" fontId="46" fillId="0" borderId="58" xfId="0" applyNumberFormat="1" applyFont="1" applyFill="1" applyBorder="1" applyAlignment="1">
      <alignment horizontal="left"/>
    </xf>
    <xf numFmtId="1" fontId="29" fillId="0" borderId="71" xfId="0" applyNumberFormat="1" applyFont="1" applyBorder="1" applyAlignment="1">
      <alignment horizontal="left"/>
    </xf>
    <xf numFmtId="1" fontId="27" fillId="0" borderId="6" xfId="0" applyNumberFormat="1" applyFont="1" applyBorder="1" applyAlignment="1">
      <alignment horizontal="left"/>
    </xf>
    <xf numFmtId="1" fontId="27" fillId="0" borderId="8" xfId="0" applyNumberFormat="1" applyFont="1" applyBorder="1" applyAlignment="1">
      <alignment horizontal="left"/>
    </xf>
    <xf numFmtId="1" fontId="27" fillId="0" borderId="2" xfId="0" applyNumberFormat="1" applyFont="1" applyBorder="1" applyAlignment="1">
      <alignment horizontal="left"/>
    </xf>
    <xf numFmtId="1" fontId="27" fillId="0" borderId="3" xfId="0" applyNumberFormat="1" applyFont="1" applyBorder="1" applyAlignment="1">
      <alignment horizontal="left"/>
    </xf>
    <xf numFmtId="1" fontId="19" fillId="0" borderId="0" xfId="0" applyNumberFormat="1" applyFont="1" applyAlignment="1">
      <alignment horizontal="left"/>
    </xf>
    <xf numFmtId="1" fontId="19" fillId="0" borderId="2" xfId="2" applyNumberFormat="1" applyFont="1" applyBorder="1" applyAlignment="1">
      <alignment horizontal="left"/>
    </xf>
    <xf numFmtId="1" fontId="19" fillId="0" borderId="5" xfId="2" applyNumberFormat="1" applyFont="1" applyBorder="1" applyAlignment="1">
      <alignment horizontal="left"/>
    </xf>
    <xf numFmtId="1" fontId="19" fillId="0" borderId="2" xfId="0" applyNumberFormat="1" applyFont="1" applyFill="1" applyBorder="1" applyAlignment="1">
      <alignment horizontal="left"/>
    </xf>
    <xf numFmtId="1" fontId="19" fillId="0" borderId="3" xfId="0" applyNumberFormat="1" applyFont="1" applyFill="1" applyBorder="1" applyAlignment="1">
      <alignment horizontal="left"/>
    </xf>
    <xf numFmtId="1" fontId="19" fillId="0" borderId="29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horizontal="left" vertical="center"/>
    </xf>
    <xf numFmtId="0" fontId="33" fillId="0" borderId="51" xfId="0" applyFont="1" applyBorder="1" applyAlignment="1">
      <alignment horizontal="left"/>
    </xf>
    <xf numFmtId="1" fontId="18" fillId="0" borderId="10" xfId="0" applyNumberFormat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" fontId="1" fillId="0" borderId="49" xfId="0" applyNumberFormat="1" applyFont="1" applyBorder="1" applyAlignment="1">
      <alignment horizontal="left" vertical="center"/>
    </xf>
    <xf numFmtId="1" fontId="4" fillId="0" borderId="67" xfId="0" applyNumberFormat="1" applyFont="1" applyBorder="1" applyAlignment="1">
      <alignment horizontal="left"/>
    </xf>
    <xf numFmtId="1" fontId="4" fillId="0" borderId="49" xfId="0" applyNumberFormat="1" applyFont="1" applyBorder="1" applyAlignment="1">
      <alignment horizontal="left"/>
    </xf>
    <xf numFmtId="1" fontId="1" fillId="0" borderId="48" xfId="0" applyNumberFormat="1" applyFont="1" applyBorder="1" applyAlignment="1">
      <alignment horizontal="left"/>
    </xf>
    <xf numFmtId="1" fontId="1" fillId="0" borderId="67" xfId="0" applyNumberFormat="1" applyFont="1" applyBorder="1" applyAlignment="1">
      <alignment horizontal="left"/>
    </xf>
    <xf numFmtId="1" fontId="1" fillId="0" borderId="49" xfId="0" applyNumberFormat="1" applyFont="1" applyBorder="1" applyAlignment="1">
      <alignment horizontal="left"/>
    </xf>
    <xf numFmtId="1" fontId="4" fillId="0" borderId="72" xfId="0" applyNumberFormat="1" applyFont="1" applyBorder="1" applyAlignment="1">
      <alignment horizontal="left"/>
    </xf>
    <xf numFmtId="2" fontId="4" fillId="0" borderId="49" xfId="0" applyNumberFormat="1" applyFont="1" applyBorder="1" applyAlignment="1">
      <alignment horizontal="left"/>
    </xf>
    <xf numFmtId="0" fontId="4" fillId="0" borderId="67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1" fontId="4" fillId="0" borderId="67" xfId="0" applyNumberFormat="1" applyFont="1" applyFill="1" applyBorder="1" applyAlignment="1">
      <alignment horizontal="left"/>
    </xf>
    <xf numFmtId="1" fontId="4" fillId="0" borderId="49" xfId="0" applyNumberFormat="1" applyFont="1" applyFill="1" applyBorder="1" applyAlignment="1">
      <alignment horizontal="left"/>
    </xf>
    <xf numFmtId="1" fontId="4" fillId="0" borderId="67" xfId="1" applyNumberFormat="1" applyFont="1" applyBorder="1" applyAlignment="1">
      <alignment horizontal="left"/>
    </xf>
    <xf numFmtId="1" fontId="4" fillId="0" borderId="49" xfId="1" applyNumberFormat="1" applyFont="1" applyBorder="1" applyAlignment="1">
      <alignment horizontal="left"/>
    </xf>
    <xf numFmtId="1" fontId="1" fillId="0" borderId="17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" fontId="19" fillId="0" borderId="19" xfId="0" applyNumberFormat="1" applyFont="1" applyBorder="1" applyAlignment="1">
      <alignment horizontal="left" vertical="center"/>
    </xf>
    <xf numFmtId="1" fontId="19" fillId="0" borderId="18" xfId="0" applyNumberFormat="1" applyFont="1" applyBorder="1" applyAlignment="1">
      <alignment horizontal="left" vertical="center"/>
    </xf>
    <xf numFmtId="1" fontId="33" fillId="0" borderId="73" xfId="0" applyNumberFormat="1" applyFont="1" applyBorder="1" applyAlignment="1">
      <alignment horizontal="left" vertical="center"/>
    </xf>
    <xf numFmtId="1" fontId="33" fillId="0" borderId="55" xfId="0" applyNumberFormat="1" applyFont="1" applyBorder="1" applyAlignment="1">
      <alignment horizontal="left" vertical="center"/>
    </xf>
    <xf numFmtId="1" fontId="19" fillId="0" borderId="19" xfId="0" applyNumberFormat="1" applyFont="1" applyBorder="1" applyAlignment="1">
      <alignment horizontal="left"/>
    </xf>
    <xf numFmtId="1" fontId="19" fillId="0" borderId="18" xfId="0" applyNumberFormat="1" applyFont="1" applyBorder="1" applyAlignment="1">
      <alignment horizontal="left"/>
    </xf>
    <xf numFmtId="1" fontId="19" fillId="0" borderId="19" xfId="2" applyNumberFormat="1" applyFont="1" applyBorder="1" applyAlignment="1">
      <alignment horizontal="left"/>
    </xf>
    <xf numFmtId="1" fontId="19" fillId="0" borderId="22" xfId="2" applyNumberFormat="1" applyFont="1" applyBorder="1" applyAlignment="1">
      <alignment horizontal="left"/>
    </xf>
    <xf numFmtId="1" fontId="27" fillId="0" borderId="19" xfId="0" applyNumberFormat="1" applyFont="1" applyBorder="1" applyAlignment="1">
      <alignment horizontal="left"/>
    </xf>
    <xf numFmtId="1" fontId="27" fillId="0" borderId="18" xfId="0" applyNumberFormat="1" applyFont="1" applyBorder="1" applyAlignment="1">
      <alignment horizontal="left"/>
    </xf>
    <xf numFmtId="1" fontId="19" fillId="0" borderId="19" xfId="0" applyNumberFormat="1" applyFont="1" applyFill="1" applyBorder="1" applyAlignment="1">
      <alignment horizontal="left"/>
    </xf>
    <xf numFmtId="1" fontId="19" fillId="0" borderId="18" xfId="0" applyNumberFormat="1" applyFont="1" applyFill="1" applyBorder="1" applyAlignment="1">
      <alignment horizontal="left"/>
    </xf>
    <xf numFmtId="1" fontId="19" fillId="0" borderId="19" xfId="1" applyNumberFormat="1" applyFont="1" applyBorder="1" applyAlignment="1">
      <alignment horizontal="left"/>
    </xf>
    <xf numFmtId="1" fontId="19" fillId="0" borderId="18" xfId="1" applyNumberFormat="1" applyFont="1" applyBorder="1" applyAlignment="1">
      <alignment horizontal="left"/>
    </xf>
    <xf numFmtId="1" fontId="19" fillId="0" borderId="67" xfId="0" applyNumberFormat="1" applyFont="1" applyBorder="1" applyAlignment="1">
      <alignment horizontal="left" vertical="center"/>
    </xf>
    <xf numFmtId="1" fontId="19" fillId="0" borderId="49" xfId="0" applyNumberFormat="1" applyFont="1" applyBorder="1" applyAlignment="1">
      <alignment horizontal="left" vertical="center"/>
    </xf>
    <xf numFmtId="1" fontId="18" fillId="0" borderId="67" xfId="0" applyNumberFormat="1" applyFont="1" applyBorder="1" applyAlignment="1">
      <alignment horizontal="left"/>
    </xf>
    <xf numFmtId="1" fontId="18" fillId="0" borderId="49" xfId="0" applyNumberFormat="1" applyFont="1" applyBorder="1" applyAlignment="1">
      <alignment horizontal="left"/>
    </xf>
    <xf numFmtId="2" fontId="18" fillId="0" borderId="67" xfId="0" applyNumberFormat="1" applyFont="1" applyBorder="1" applyAlignment="1">
      <alignment horizontal="left"/>
    </xf>
    <xf numFmtId="2" fontId="18" fillId="0" borderId="49" xfId="0" applyNumberFormat="1" applyFont="1" applyBorder="1" applyAlignment="1">
      <alignment horizontal="left"/>
    </xf>
    <xf numFmtId="1" fontId="18" fillId="0" borderId="72" xfId="0" applyNumberFormat="1" applyFont="1" applyBorder="1" applyAlignment="1">
      <alignment horizontal="left"/>
    </xf>
    <xf numFmtId="0" fontId="18" fillId="0" borderId="67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0" fontId="20" fillId="0" borderId="67" xfId="0" applyFont="1" applyBorder="1" applyAlignment="1">
      <alignment horizontal="left"/>
    </xf>
    <xf numFmtId="0" fontId="20" fillId="0" borderId="49" xfId="0" applyFont="1" applyBorder="1" applyAlignment="1">
      <alignment horizontal="left"/>
    </xf>
    <xf numFmtId="1" fontId="18" fillId="0" borderId="67" xfId="0" applyNumberFormat="1" applyFont="1" applyFill="1" applyBorder="1" applyAlignment="1">
      <alignment horizontal="left"/>
    </xf>
    <xf numFmtId="1" fontId="18" fillId="0" borderId="49" xfId="0" applyNumberFormat="1" applyFont="1" applyFill="1" applyBorder="1" applyAlignment="1">
      <alignment horizontal="left"/>
    </xf>
    <xf numFmtId="1" fontId="18" fillId="0" borderId="67" xfId="1" applyNumberFormat="1" applyFont="1" applyBorder="1" applyAlignment="1">
      <alignment horizontal="left"/>
    </xf>
    <xf numFmtId="1" fontId="18" fillId="0" borderId="49" xfId="1" applyNumberFormat="1" applyFont="1" applyBorder="1" applyAlignment="1">
      <alignment horizontal="left"/>
    </xf>
    <xf numFmtId="1" fontId="19" fillId="0" borderId="48" xfId="0" applyNumberFormat="1" applyFont="1" applyBorder="1" applyAlignment="1">
      <alignment horizontal="left" vertical="center"/>
    </xf>
    <xf numFmtId="1" fontId="19" fillId="0" borderId="17" xfId="0" applyNumberFormat="1" applyFont="1" applyBorder="1" applyAlignment="1">
      <alignment horizontal="left" vertical="center"/>
    </xf>
    <xf numFmtId="0" fontId="22" fillId="0" borderId="16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59" xfId="0" applyFont="1" applyBorder="1" applyAlignment="1">
      <alignment horizontal="left"/>
    </xf>
    <xf numFmtId="1" fontId="26" fillId="0" borderId="42" xfId="0" applyNumberFormat="1" applyFont="1" applyFill="1" applyBorder="1" applyAlignment="1">
      <alignment horizontal="left" vertical="center" wrapText="1"/>
    </xf>
    <xf numFmtId="0" fontId="22" fillId="0" borderId="36" xfId="0" applyFont="1" applyBorder="1" applyAlignment="1">
      <alignment horizontal="left"/>
    </xf>
    <xf numFmtId="0" fontId="22" fillId="0" borderId="56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1" fontId="18" fillId="0" borderId="0" xfId="0" applyNumberFormat="1" applyFont="1" applyAlignment="1">
      <alignment horizontal="justify" vertical="justify" wrapText="1"/>
    </xf>
    <xf numFmtId="0" fontId="18" fillId="0" borderId="0" xfId="0" applyFont="1" applyAlignment="1">
      <alignment horizontal="justify" vertical="justify" wrapText="1"/>
    </xf>
    <xf numFmtId="0" fontId="47" fillId="0" borderId="14" xfId="0" applyFont="1" applyBorder="1" applyAlignment="1">
      <alignment horizontal="left"/>
    </xf>
    <xf numFmtId="1" fontId="47" fillId="0" borderId="4" xfId="0" applyNumberFormat="1" applyFont="1" applyBorder="1" applyAlignment="1">
      <alignment horizontal="left" vertical="center"/>
    </xf>
    <xf numFmtId="1" fontId="47" fillId="0" borderId="16" xfId="0" applyNumberFormat="1" applyFont="1" applyBorder="1" applyAlignment="1">
      <alignment horizontal="left" vertical="center"/>
    </xf>
    <xf numFmtId="1" fontId="47" fillId="0" borderId="15" xfId="0" applyNumberFormat="1" applyFont="1" applyBorder="1" applyAlignment="1">
      <alignment horizontal="left" vertical="center"/>
    </xf>
    <xf numFmtId="1" fontId="47" fillId="0" borderId="1" xfId="0" applyNumberFormat="1" applyFont="1" applyBorder="1" applyAlignment="1">
      <alignment horizontal="left" vertical="center"/>
    </xf>
    <xf numFmtId="1" fontId="47" fillId="0" borderId="3" xfId="0" applyNumberFormat="1" applyFont="1" applyBorder="1" applyAlignment="1">
      <alignment horizontal="left" vertical="center"/>
    </xf>
    <xf numFmtId="2" fontId="47" fillId="0" borderId="4" xfId="0" applyNumberFormat="1" applyFont="1" applyBorder="1" applyAlignment="1">
      <alignment horizontal="left" vertical="center"/>
    </xf>
    <xf numFmtId="2" fontId="47" fillId="0" borderId="16" xfId="0" applyNumberFormat="1" applyFont="1" applyBorder="1" applyAlignment="1">
      <alignment horizontal="left" vertical="center"/>
    </xf>
    <xf numFmtId="1" fontId="47" fillId="0" borderId="1" xfId="0" applyNumberFormat="1" applyFont="1" applyBorder="1" applyAlignment="1">
      <alignment horizontal="left"/>
    </xf>
    <xf numFmtId="1" fontId="47" fillId="0" borderId="14" xfId="0" applyNumberFormat="1" applyFont="1" applyBorder="1" applyAlignment="1">
      <alignment horizontal="left"/>
    </xf>
    <xf numFmtId="0" fontId="48" fillId="0" borderId="0" xfId="0" applyFont="1" applyAlignment="1">
      <alignment horizontal="left"/>
    </xf>
    <xf numFmtId="0" fontId="26" fillId="0" borderId="46" xfId="0" applyFont="1" applyBorder="1" applyAlignment="1">
      <alignment horizontal="left" vertical="center"/>
    </xf>
    <xf numFmtId="3" fontId="40" fillId="0" borderId="60" xfId="0" applyNumberFormat="1" applyFont="1" applyBorder="1" applyAlignment="1">
      <alignment horizontal="left"/>
    </xf>
    <xf numFmtId="1" fontId="47" fillId="0" borderId="5" xfId="0" applyNumberFormat="1" applyFont="1" applyBorder="1" applyAlignment="1">
      <alignment horizontal="left"/>
    </xf>
    <xf numFmtId="1" fontId="47" fillId="0" borderId="30" xfId="0" applyNumberFormat="1" applyFont="1" applyBorder="1" applyAlignment="1">
      <alignment horizontal="left" vertical="center"/>
    </xf>
    <xf numFmtId="1" fontId="47" fillId="0" borderId="16" xfId="0" applyNumberFormat="1" applyFont="1" applyBorder="1" applyAlignment="1">
      <alignment horizontal="left"/>
    </xf>
    <xf numFmtId="1" fontId="47" fillId="0" borderId="15" xfId="0" applyNumberFormat="1" applyFont="1" applyBorder="1" applyAlignment="1">
      <alignment horizontal="left"/>
    </xf>
    <xf numFmtId="1" fontId="47" fillId="0" borderId="1" xfId="1" applyNumberFormat="1" applyFont="1" applyBorder="1" applyAlignment="1">
      <alignment horizontal="left"/>
    </xf>
    <xf numFmtId="1" fontId="47" fillId="0" borderId="0" xfId="0" applyNumberFormat="1" applyFont="1" applyAlignment="1">
      <alignment horizontal="left"/>
    </xf>
    <xf numFmtId="1" fontId="47" fillId="0" borderId="14" xfId="0" applyNumberFormat="1" applyFont="1" applyBorder="1" applyAlignment="1">
      <alignment horizontal="left" vertical="center"/>
    </xf>
    <xf numFmtId="1" fontId="47" fillId="0" borderId="4" xfId="1" applyNumberFormat="1" applyFont="1" applyBorder="1" applyAlignment="1">
      <alignment horizontal="left"/>
    </xf>
    <xf numFmtId="1" fontId="47" fillId="0" borderId="15" xfId="1" applyNumberFormat="1" applyFont="1" applyBorder="1" applyAlignment="1">
      <alignment horizontal="left"/>
    </xf>
    <xf numFmtId="1" fontId="19" fillId="0" borderId="0" xfId="0" applyNumberFormat="1" applyFont="1" applyFill="1" applyBorder="1" applyAlignment="1"/>
    <xf numFmtId="1" fontId="49" fillId="0" borderId="24" xfId="0" applyNumberFormat="1" applyFont="1" applyBorder="1" applyAlignment="1"/>
    <xf numFmtId="1" fontId="28" fillId="0" borderId="0" xfId="0" applyNumberFormat="1" applyFont="1" applyAlignment="1">
      <alignment horizontal="justify" vertical="justify" wrapText="1"/>
    </xf>
    <xf numFmtId="0" fontId="3" fillId="0" borderId="0" xfId="0" applyFont="1" applyAlignment="1">
      <alignment horizontal="justify" vertical="justify" wrapText="1"/>
    </xf>
    <xf numFmtId="0" fontId="28" fillId="0" borderId="0" xfId="0" applyFont="1" applyAlignment="1">
      <alignment horizontal="justify" vertical="justify" wrapText="1"/>
    </xf>
    <xf numFmtId="2" fontId="23" fillId="0" borderId="9" xfId="0" applyNumberFormat="1" applyFont="1" applyFill="1" applyBorder="1" applyAlignment="1">
      <alignment horizontal="left"/>
    </xf>
    <xf numFmtId="2" fontId="23" fillId="0" borderId="4" xfId="0" applyNumberFormat="1" applyFont="1" applyFill="1" applyBorder="1" applyAlignment="1">
      <alignment horizontal="left"/>
    </xf>
    <xf numFmtId="2" fontId="23" fillId="0" borderId="20" xfId="0" applyNumberFormat="1" applyFont="1" applyFill="1" applyBorder="1" applyAlignment="1">
      <alignment horizontal="left"/>
    </xf>
    <xf numFmtId="2" fontId="23" fillId="0" borderId="41" xfId="0" applyNumberFormat="1" applyFont="1" applyFill="1" applyBorder="1" applyAlignment="1">
      <alignment horizontal="left"/>
    </xf>
    <xf numFmtId="165" fontId="25" fillId="0" borderId="3" xfId="0" applyNumberFormat="1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2" fontId="24" fillId="0" borderId="50" xfId="0" applyNumberFormat="1" applyFont="1" applyBorder="1" applyAlignment="1">
      <alignment horizontal="left"/>
    </xf>
    <xf numFmtId="2" fontId="24" fillId="0" borderId="15" xfId="0" applyNumberFormat="1" applyFont="1" applyBorder="1" applyAlignment="1">
      <alignment horizontal="left"/>
    </xf>
    <xf numFmtId="2" fontId="24" fillId="0" borderId="63" xfId="0" applyNumberFormat="1" applyFont="1" applyBorder="1" applyAlignment="1">
      <alignment horizontal="left"/>
    </xf>
    <xf numFmtId="2" fontId="35" fillId="0" borderId="44" xfId="0" applyNumberFormat="1" applyFont="1" applyBorder="1" applyAlignment="1">
      <alignment horizontal="left"/>
    </xf>
    <xf numFmtId="2" fontId="24" fillId="0" borderId="44" xfId="0" applyNumberFormat="1" applyFont="1" applyBorder="1" applyAlignment="1">
      <alignment horizontal="left"/>
    </xf>
    <xf numFmtId="2" fontId="35" fillId="0" borderId="53" xfId="0" applyNumberFormat="1" applyFont="1" applyBorder="1" applyAlignment="1">
      <alignment horizontal="left"/>
    </xf>
    <xf numFmtId="2" fontId="35" fillId="0" borderId="42" xfId="1" applyNumberFormat="1" applyFont="1" applyBorder="1" applyAlignment="1">
      <alignment horizontal="left"/>
    </xf>
    <xf numFmtId="2" fontId="4" fillId="0" borderId="74" xfId="0" applyNumberFormat="1" applyFont="1" applyBorder="1" applyAlignment="1">
      <alignment horizontal="left"/>
    </xf>
    <xf numFmtId="1" fontId="28" fillId="0" borderId="4" xfId="1" applyNumberFormat="1" applyFont="1" applyBorder="1" applyAlignment="1">
      <alignment horizontal="left"/>
    </xf>
    <xf numFmtId="1" fontId="28" fillId="0" borderId="20" xfId="1" applyNumberFormat="1" applyFont="1" applyBorder="1" applyAlignment="1">
      <alignment horizontal="left"/>
    </xf>
    <xf numFmtId="1" fontId="28" fillId="0" borderId="1" xfId="1" applyNumberFormat="1" applyFont="1" applyBorder="1" applyAlignment="1">
      <alignment horizontal="left"/>
    </xf>
    <xf numFmtId="1" fontId="28" fillId="0" borderId="21" xfId="1" applyNumberFormat="1" applyFont="1" applyBorder="1" applyAlignment="1">
      <alignment horizontal="left"/>
    </xf>
    <xf numFmtId="1" fontId="28" fillId="0" borderId="1" xfId="0" applyNumberFormat="1" applyFont="1" applyFill="1" applyBorder="1" applyAlignment="1">
      <alignment horizontal="left"/>
    </xf>
    <xf numFmtId="1" fontId="28" fillId="0" borderId="21" xfId="0" applyNumberFormat="1" applyFont="1" applyFill="1" applyBorder="1" applyAlignment="1">
      <alignment horizontal="left"/>
    </xf>
    <xf numFmtId="1" fontId="25" fillId="0" borderId="1" xfId="0" applyNumberFormat="1" applyFont="1" applyBorder="1" applyAlignment="1">
      <alignment horizontal="left"/>
    </xf>
    <xf numFmtId="1" fontId="25" fillId="0" borderId="21" xfId="0" applyNumberFormat="1" applyFont="1" applyBorder="1" applyAlignment="1">
      <alignment horizontal="left"/>
    </xf>
    <xf numFmtId="1" fontId="47" fillId="0" borderId="30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" fontId="28" fillId="0" borderId="1" xfId="2" applyNumberFormat="1" applyFont="1" applyBorder="1" applyAlignment="1">
      <alignment horizontal="left"/>
    </xf>
    <xf numFmtId="1" fontId="28" fillId="0" borderId="21" xfId="2" applyNumberFormat="1" applyFont="1" applyBorder="1" applyAlignment="1">
      <alignment horizontal="left"/>
    </xf>
    <xf numFmtId="1" fontId="28" fillId="0" borderId="7" xfId="0" applyNumberFormat="1" applyFont="1" applyBorder="1" applyAlignment="1">
      <alignment horizontal="left"/>
    </xf>
    <xf numFmtId="1" fontId="26" fillId="0" borderId="68" xfId="0" applyNumberFormat="1" applyFont="1" applyBorder="1" applyAlignment="1">
      <alignment horizontal="justify" vertical="justify" wrapText="1"/>
    </xf>
    <xf numFmtId="1" fontId="26" fillId="0" borderId="64" xfId="0" applyNumberFormat="1" applyFont="1" applyBorder="1" applyAlignment="1">
      <alignment vertical="center"/>
    </xf>
    <xf numFmtId="1" fontId="28" fillId="0" borderId="1" xfId="0" applyNumberFormat="1" applyFont="1" applyBorder="1" applyAlignment="1">
      <alignment horizontal="left" vertical="center"/>
    </xf>
    <xf numFmtId="1" fontId="26" fillId="0" borderId="1" xfId="0" applyNumberFormat="1" applyFont="1" applyBorder="1" applyAlignment="1">
      <alignment horizontal="left" vertical="center"/>
    </xf>
    <xf numFmtId="1" fontId="28" fillId="0" borderId="21" xfId="0" applyNumberFormat="1" applyFont="1" applyBorder="1" applyAlignment="1">
      <alignment horizontal="left" vertical="center"/>
    </xf>
    <xf numFmtId="1" fontId="26" fillId="0" borderId="3" xfId="0" applyNumberFormat="1" applyFont="1" applyBorder="1" applyAlignment="1">
      <alignment horizontal="left" vertical="center"/>
    </xf>
    <xf numFmtId="1" fontId="28" fillId="0" borderId="18" xfId="0" applyNumberFormat="1" applyFont="1" applyBorder="1" applyAlignment="1">
      <alignment horizontal="left" vertical="center"/>
    </xf>
    <xf numFmtId="1" fontId="28" fillId="0" borderId="23" xfId="0" applyNumberFormat="1" applyFont="1" applyBorder="1" applyAlignment="1">
      <alignment horizontal="left" vertical="center"/>
    </xf>
    <xf numFmtId="0" fontId="29" fillId="0" borderId="31" xfId="0" applyFont="1" applyBorder="1" applyAlignment="1">
      <alignment horizontal="left"/>
    </xf>
    <xf numFmtId="0" fontId="26" fillId="0" borderId="28" xfId="0" applyFont="1" applyBorder="1" applyAlignment="1">
      <alignment horizontal="left" vertical="center"/>
    </xf>
    <xf numFmtId="2" fontId="28" fillId="0" borderId="1" xfId="0" applyNumberFormat="1" applyFont="1" applyBorder="1" applyAlignment="1">
      <alignment horizontal="left" vertical="center"/>
    </xf>
    <xf numFmtId="2" fontId="26" fillId="0" borderId="1" xfId="0" applyNumberFormat="1" applyFont="1" applyBorder="1" applyAlignment="1">
      <alignment horizontal="left" vertical="center"/>
    </xf>
    <xf numFmtId="2" fontId="28" fillId="0" borderId="21" xfId="0" applyNumberFormat="1" applyFont="1" applyBorder="1" applyAlignment="1">
      <alignment horizontal="left" vertical="center"/>
    </xf>
    <xf numFmtId="2" fontId="40" fillId="0" borderId="37" xfId="0" applyNumberFormat="1" applyFont="1" applyBorder="1" applyAlignment="1">
      <alignment horizontal="left" vertical="center"/>
    </xf>
    <xf numFmtId="0" fontId="28" fillId="0" borderId="54" xfId="0" applyFont="1" applyBorder="1" applyAlignment="1">
      <alignment horizontal="left"/>
    </xf>
    <xf numFmtId="1" fontId="28" fillId="0" borderId="48" xfId="0" applyNumberFormat="1" applyFont="1" applyBorder="1" applyAlignment="1">
      <alignment horizontal="left"/>
    </xf>
    <xf numFmtId="0" fontId="26" fillId="0" borderId="9" xfId="0" applyFont="1" applyBorder="1" applyAlignment="1">
      <alignment horizontal="left" vertical="center"/>
    </xf>
    <xf numFmtId="2" fontId="28" fillId="0" borderId="4" xfId="0" applyNumberFormat="1" applyFont="1" applyBorder="1" applyAlignment="1">
      <alignment horizontal="left"/>
    </xf>
    <xf numFmtId="2" fontId="26" fillId="0" borderId="4" xfId="0" applyNumberFormat="1" applyFont="1" applyBorder="1" applyAlignment="1">
      <alignment horizontal="left"/>
    </xf>
    <xf numFmtId="2" fontId="28" fillId="0" borderId="20" xfId="0" applyNumberFormat="1" applyFont="1" applyBorder="1" applyAlignment="1">
      <alignment horizontal="left"/>
    </xf>
    <xf numFmtId="2" fontId="28" fillId="0" borderId="4" xfId="2" applyNumberFormat="1" applyFont="1" applyBorder="1" applyAlignment="1">
      <alignment horizontal="left"/>
    </xf>
    <xf numFmtId="2" fontId="28" fillId="0" borderId="20" xfId="2" applyNumberFormat="1" applyFont="1" applyBorder="1" applyAlignment="1">
      <alignment horizontal="left"/>
    </xf>
    <xf numFmtId="2" fontId="28" fillId="0" borderId="18" xfId="2" applyNumberFormat="1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0" fontId="28" fillId="0" borderId="41" xfId="0" applyFont="1" applyBorder="1" applyAlignment="1">
      <alignment horizontal="left"/>
    </xf>
    <xf numFmtId="1" fontId="40" fillId="0" borderId="53" xfId="0" applyNumberFormat="1" applyFont="1" applyBorder="1" applyAlignment="1">
      <alignment horizontal="left" vertical="center"/>
    </xf>
    <xf numFmtId="0" fontId="28" fillId="0" borderId="26" xfId="0" applyFont="1" applyBorder="1" applyAlignment="1">
      <alignment horizontal="left"/>
    </xf>
    <xf numFmtId="1" fontId="28" fillId="0" borderId="4" xfId="0" applyNumberFormat="1" applyFont="1" applyFill="1" applyBorder="1" applyAlignment="1">
      <alignment horizontal="left"/>
    </xf>
    <xf numFmtId="1" fontId="28" fillId="0" borderId="20" xfId="0" applyNumberFormat="1" applyFont="1" applyFill="1" applyBorder="1" applyAlignment="1">
      <alignment horizontal="left"/>
    </xf>
    <xf numFmtId="1" fontId="28" fillId="0" borderId="3" xfId="0" applyNumberFormat="1" applyFont="1" applyFill="1" applyBorder="1" applyAlignment="1">
      <alignment horizontal="left"/>
    </xf>
    <xf numFmtId="1" fontId="28" fillId="0" borderId="18" xfId="0" applyNumberFormat="1" applyFont="1" applyFill="1" applyBorder="1" applyAlignment="1">
      <alignment horizontal="left"/>
    </xf>
    <xf numFmtId="1" fontId="40" fillId="0" borderId="41" xfId="0" applyNumberFormat="1" applyFont="1" applyBorder="1" applyAlignment="1">
      <alignment horizontal="left"/>
    </xf>
    <xf numFmtId="1" fontId="28" fillId="0" borderId="41" xfId="0" applyNumberFormat="1" applyFont="1" applyBorder="1" applyAlignment="1">
      <alignment horizontal="left"/>
    </xf>
    <xf numFmtId="0" fontId="38" fillId="0" borderId="64" xfId="0" applyFont="1" applyBorder="1" applyAlignment="1">
      <alignment horizontal="left"/>
    </xf>
    <xf numFmtId="1" fontId="40" fillId="0" borderId="62" xfId="0" applyNumberFormat="1" applyFont="1" applyBorder="1" applyAlignment="1">
      <alignment horizontal="left" vertical="center"/>
    </xf>
    <xf numFmtId="1" fontId="40" fillId="0" borderId="60" xfId="0" applyNumberFormat="1" applyFont="1" applyBorder="1" applyAlignment="1">
      <alignment horizontal="left"/>
    </xf>
    <xf numFmtId="0" fontId="26" fillId="0" borderId="56" xfId="0" applyFont="1" applyBorder="1" applyAlignment="1">
      <alignment horizontal="left" vertical="center"/>
    </xf>
    <xf numFmtId="2" fontId="28" fillId="0" borderId="16" xfId="2" applyNumberFormat="1" applyFont="1" applyBorder="1" applyAlignment="1">
      <alignment horizontal="left"/>
    </xf>
    <xf numFmtId="1" fontId="28" fillId="0" borderId="16" xfId="2" applyNumberFormat="1" applyFont="1" applyBorder="1" applyAlignment="1">
      <alignment horizontal="left"/>
    </xf>
    <xf numFmtId="1" fontId="28" fillId="0" borderId="16" xfId="0" applyNumberFormat="1" applyFont="1" applyBorder="1" applyAlignment="1">
      <alignment horizontal="left"/>
    </xf>
    <xf numFmtId="1" fontId="40" fillId="0" borderId="61" xfId="0" applyNumberFormat="1" applyFont="1" applyBorder="1" applyAlignment="1">
      <alignment horizontal="left"/>
    </xf>
    <xf numFmtId="1" fontId="28" fillId="0" borderId="14" xfId="0" applyNumberFormat="1" applyFont="1" applyBorder="1" applyAlignment="1">
      <alignment horizontal="left"/>
    </xf>
    <xf numFmtId="2" fontId="28" fillId="0" borderId="4" xfId="1" applyNumberFormat="1" applyFont="1" applyBorder="1" applyAlignment="1">
      <alignment horizontal="left"/>
    </xf>
    <xf numFmtId="1" fontId="40" fillId="0" borderId="60" xfId="1" applyNumberFormat="1" applyFont="1" applyBorder="1" applyAlignment="1">
      <alignment horizontal="left"/>
    </xf>
    <xf numFmtId="2" fontId="28" fillId="0" borderId="3" xfId="0" applyNumberFormat="1" applyFont="1" applyFill="1" applyBorder="1" applyAlignment="1">
      <alignment horizontal="left"/>
    </xf>
    <xf numFmtId="1" fontId="40" fillId="0" borderId="12" xfId="0" applyNumberFormat="1" applyFont="1" applyFill="1" applyBorder="1" applyAlignment="1">
      <alignment horizontal="left"/>
    </xf>
    <xf numFmtId="1" fontId="28" fillId="0" borderId="0" xfId="0" applyNumberFormat="1" applyFont="1" applyFill="1" applyAlignment="1">
      <alignment horizontal="justify" vertical="justify" wrapText="1"/>
    </xf>
    <xf numFmtId="2" fontId="18" fillId="0" borderId="11" xfId="2" applyNumberFormat="1" applyFont="1" applyBorder="1" applyAlignment="1">
      <alignment horizontal="left"/>
    </xf>
    <xf numFmtId="2" fontId="18" fillId="0" borderId="12" xfId="2" applyNumberFormat="1" applyFont="1" applyBorder="1" applyAlignment="1">
      <alignment horizontal="left"/>
    </xf>
    <xf numFmtId="2" fontId="30" fillId="0" borderId="1" xfId="0" applyNumberFormat="1" applyFont="1" applyBorder="1" applyAlignment="1">
      <alignment horizontal="left"/>
    </xf>
    <xf numFmtId="2" fontId="19" fillId="0" borderId="4" xfId="0" applyNumberFormat="1" applyFont="1" applyFill="1" applyBorder="1" applyAlignment="1">
      <alignment horizontal="left"/>
    </xf>
    <xf numFmtId="165" fontId="27" fillId="0" borderId="33" xfId="0" applyNumberFormat="1" applyFont="1" applyBorder="1" applyAlignment="1">
      <alignment horizontal="left"/>
    </xf>
    <xf numFmtId="165" fontId="27" fillId="0" borderId="34" xfId="0" applyNumberFormat="1" applyFont="1" applyBorder="1" applyAlignment="1">
      <alignment horizontal="left"/>
    </xf>
    <xf numFmtId="165" fontId="27" fillId="0" borderId="1" xfId="0" applyNumberFormat="1" applyFont="1" applyBorder="1" applyAlignment="1">
      <alignment horizontal="left"/>
    </xf>
    <xf numFmtId="165" fontId="27" fillId="0" borderId="3" xfId="0" applyNumberFormat="1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2" fontId="19" fillId="0" borderId="5" xfId="1" applyNumberFormat="1" applyFont="1" applyBorder="1" applyAlignment="1">
      <alignment horizontal="left"/>
    </xf>
    <xf numFmtId="2" fontId="19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50" fillId="0" borderId="0" xfId="0" applyFont="1"/>
    <xf numFmtId="0" fontId="37" fillId="0" borderId="51" xfId="0" applyFont="1" applyBorder="1" applyAlignment="1">
      <alignment horizontal="left"/>
    </xf>
    <xf numFmtId="0" fontId="29" fillId="0" borderId="59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50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4" fillId="0" borderId="16" xfId="0" applyFont="1" applyBorder="1" applyAlignment="1">
      <alignment horizontal="left"/>
    </xf>
    <xf numFmtId="0" fontId="45" fillId="0" borderId="14" xfId="0" applyFont="1" applyBorder="1" applyAlignment="1">
      <alignment horizontal="left"/>
    </xf>
    <xf numFmtId="0" fontId="45" fillId="0" borderId="16" xfId="0" applyFont="1" applyBorder="1" applyAlignment="1">
      <alignment horizontal="left"/>
    </xf>
    <xf numFmtId="0" fontId="45" fillId="0" borderId="15" xfId="0" applyFont="1" applyBorder="1" applyAlignment="1">
      <alignment horizontal="left"/>
    </xf>
    <xf numFmtId="0" fontId="45" fillId="0" borderId="59" xfId="0" applyFont="1" applyBorder="1" applyAlignment="1">
      <alignment horizontal="left"/>
    </xf>
    <xf numFmtId="0" fontId="45" fillId="0" borderId="61" xfId="0" applyFont="1" applyBorder="1" applyAlignment="1">
      <alignment horizontal="left"/>
    </xf>
    <xf numFmtId="0" fontId="22" fillId="0" borderId="75" xfId="0" applyFont="1" applyBorder="1" applyAlignment="1">
      <alignment horizontal="left"/>
    </xf>
    <xf numFmtId="0" fontId="0" fillId="0" borderId="0" xfId="0" applyAlignment="1">
      <alignment horizontal="left"/>
    </xf>
    <xf numFmtId="0" fontId="45" fillId="0" borderId="30" xfId="0" applyFont="1" applyBorder="1" applyAlignment="1">
      <alignment horizontal="left"/>
    </xf>
    <xf numFmtId="0" fontId="45" fillId="0" borderId="0" xfId="0" applyFont="1" applyAlignment="1">
      <alignment horizontal="left"/>
    </xf>
    <xf numFmtId="1" fontId="19" fillId="0" borderId="60" xfId="0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left"/>
    </xf>
    <xf numFmtId="0" fontId="19" fillId="0" borderId="29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0" fontId="45" fillId="0" borderId="34" xfId="0" applyFont="1" applyBorder="1" applyAlignment="1">
      <alignment horizontal="center"/>
    </xf>
    <xf numFmtId="1" fontId="24" fillId="0" borderId="14" xfId="0" applyNumberFormat="1" applyFont="1" applyBorder="1" applyAlignment="1">
      <alignment horizontal="left" vertical="center"/>
    </xf>
    <xf numFmtId="1" fontId="44" fillId="0" borderId="58" xfId="0" applyNumberFormat="1" applyFont="1" applyBorder="1" applyAlignment="1">
      <alignment horizontal="left"/>
    </xf>
    <xf numFmtId="1" fontId="23" fillId="0" borderId="21" xfId="0" applyNumberFormat="1" applyFont="1" applyBorder="1" applyAlignment="1">
      <alignment horizontal="left"/>
    </xf>
    <xf numFmtId="1" fontId="44" fillId="0" borderId="73" xfId="0" applyNumberFormat="1" applyFont="1" applyBorder="1" applyAlignment="1">
      <alignment horizontal="left"/>
    </xf>
    <xf numFmtId="1" fontId="22" fillId="0" borderId="7" xfId="0" applyNumberFormat="1" applyFont="1" applyBorder="1" applyAlignment="1">
      <alignment horizontal="left"/>
    </xf>
    <xf numFmtId="1" fontId="44" fillId="0" borderId="54" xfId="0" applyNumberFormat="1" applyFont="1" applyBorder="1" applyAlignment="1">
      <alignment horizontal="left"/>
    </xf>
    <xf numFmtId="1" fontId="23" fillId="0" borderId="5" xfId="0" applyNumberFormat="1" applyFont="1" applyFill="1" applyBorder="1" applyAlignment="1">
      <alignment horizontal="left"/>
    </xf>
    <xf numFmtId="1" fontId="23" fillId="0" borderId="22" xfId="0" applyNumberFormat="1" applyFont="1" applyFill="1" applyBorder="1" applyAlignment="1">
      <alignment horizontal="left"/>
    </xf>
    <xf numFmtId="1" fontId="23" fillId="0" borderId="21" xfId="1" applyNumberFormat="1" applyFont="1" applyBorder="1" applyAlignment="1">
      <alignment horizontal="left"/>
    </xf>
    <xf numFmtId="1" fontId="51" fillId="0" borderId="29" xfId="0" applyNumberFormat="1" applyFont="1" applyBorder="1" applyAlignment="1">
      <alignment horizontal="left"/>
    </xf>
    <xf numFmtId="1" fontId="51" fillId="0" borderId="5" xfId="0" applyNumberFormat="1" applyFont="1" applyBorder="1" applyAlignment="1">
      <alignment horizontal="left"/>
    </xf>
    <xf numFmtId="1" fontId="51" fillId="0" borderId="22" xfId="0" applyNumberFormat="1" applyFont="1" applyBorder="1" applyAlignment="1">
      <alignment horizontal="left"/>
    </xf>
    <xf numFmtId="1" fontId="23" fillId="0" borderId="21" xfId="0" applyNumberFormat="1" applyFont="1" applyFill="1" applyBorder="1" applyAlignment="1">
      <alignment horizontal="left"/>
    </xf>
    <xf numFmtId="1" fontId="51" fillId="0" borderId="28" xfId="0" applyNumberFormat="1" applyFont="1" applyBorder="1" applyAlignment="1">
      <alignment horizontal="left"/>
    </xf>
    <xf numFmtId="1" fontId="51" fillId="0" borderId="1" xfId="0" applyNumberFormat="1" applyFont="1" applyBorder="1" applyAlignment="1">
      <alignment horizontal="left"/>
    </xf>
    <xf numFmtId="1" fontId="23" fillId="0" borderId="7" xfId="0" applyNumberFormat="1" applyFont="1" applyBorder="1" applyAlignment="1">
      <alignment horizontal="left"/>
    </xf>
    <xf numFmtId="1" fontId="51" fillId="0" borderId="21" xfId="0" applyNumberFormat="1" applyFont="1" applyBorder="1" applyAlignment="1">
      <alignment horizontal="left"/>
    </xf>
    <xf numFmtId="1" fontId="23" fillId="0" borderId="30" xfId="0" applyNumberFormat="1" applyFont="1" applyBorder="1" applyAlignment="1">
      <alignment horizontal="left"/>
    </xf>
    <xf numFmtId="1" fontId="23" fillId="0" borderId="31" xfId="0" applyNumberFormat="1" applyFont="1" applyBorder="1" applyAlignment="1">
      <alignment horizontal="left"/>
    </xf>
    <xf numFmtId="1" fontId="52" fillId="0" borderId="53" xfId="0" applyNumberFormat="1" applyFont="1" applyBorder="1" applyAlignment="1">
      <alignment horizontal="left"/>
    </xf>
    <xf numFmtId="1" fontId="23" fillId="0" borderId="20" xfId="0" applyNumberFormat="1" applyFont="1" applyBorder="1" applyAlignment="1">
      <alignment horizontal="left"/>
    </xf>
    <xf numFmtId="1" fontId="46" fillId="0" borderId="52" xfId="0" applyNumberFormat="1" applyFont="1" applyFill="1" applyBorder="1" applyAlignment="1">
      <alignment horizontal="left"/>
    </xf>
    <xf numFmtId="1" fontId="23" fillId="0" borderId="21" xfId="0" applyNumberFormat="1" applyFont="1" applyBorder="1" applyAlignment="1">
      <alignment horizontal="left" vertical="center"/>
    </xf>
    <xf numFmtId="0" fontId="45" fillId="0" borderId="56" xfId="0" applyFont="1" applyBorder="1" applyAlignment="1">
      <alignment horizontal="left"/>
    </xf>
    <xf numFmtId="0" fontId="45" fillId="0" borderId="57" xfId="0" applyFont="1" applyBorder="1" applyAlignment="1">
      <alignment horizontal="left"/>
    </xf>
    <xf numFmtId="1" fontId="19" fillId="0" borderId="14" xfId="0" applyNumberFormat="1" applyFont="1" applyBorder="1" applyAlignment="1">
      <alignment horizontal="left" vertical="center"/>
    </xf>
    <xf numFmtId="1" fontId="19" fillId="0" borderId="3" xfId="2" applyNumberFormat="1" applyFont="1" applyBorder="1" applyAlignment="1">
      <alignment horizontal="left"/>
    </xf>
    <xf numFmtId="1" fontId="19" fillId="0" borderId="1" xfId="1" applyNumberFormat="1" applyFont="1" applyBorder="1" applyAlignment="1">
      <alignment horizontal="left"/>
    </xf>
    <xf numFmtId="1" fontId="19" fillId="0" borderId="14" xfId="1" applyNumberFormat="1" applyFont="1" applyBorder="1" applyAlignment="1">
      <alignment horizontal="left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right"/>
    </xf>
    <xf numFmtId="2" fontId="24" fillId="0" borderId="1" xfId="0" applyNumberFormat="1" applyFont="1" applyBorder="1" applyAlignment="1">
      <alignment horizontal="left" vertical="center"/>
    </xf>
    <xf numFmtId="2" fontId="24" fillId="0" borderId="1" xfId="0" applyNumberFormat="1" applyFont="1" applyBorder="1" applyAlignment="1">
      <alignment horizontal="right"/>
    </xf>
    <xf numFmtId="2" fontId="23" fillId="0" borderId="1" xfId="0" applyNumberFormat="1" applyFont="1" applyFill="1" applyBorder="1" applyAlignment="1">
      <alignment horizontal="right"/>
    </xf>
    <xf numFmtId="2" fontId="23" fillId="0" borderId="21" xfId="0" applyNumberFormat="1" applyFont="1" applyFill="1" applyBorder="1" applyAlignment="1">
      <alignment horizontal="right"/>
    </xf>
    <xf numFmtId="1" fontId="26" fillId="0" borderId="37" xfId="0" applyNumberFormat="1" applyFont="1" applyFill="1" applyBorder="1" applyAlignment="1">
      <alignment horizontal="center" vertical="center" wrapText="1"/>
    </xf>
    <xf numFmtId="1" fontId="26" fillId="0" borderId="40" xfId="0" applyNumberFormat="1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40" fillId="0" borderId="54" xfId="0" applyFont="1" applyBorder="1" applyAlignment="1">
      <alignment horizontal="left"/>
    </xf>
    <xf numFmtId="0" fontId="22" fillId="0" borderId="1" xfId="0" applyFont="1" applyBorder="1"/>
    <xf numFmtId="0" fontId="29" fillId="0" borderId="1" xfId="0" applyFont="1" applyBorder="1" applyAlignment="1">
      <alignment horizontal="left"/>
    </xf>
    <xf numFmtId="0" fontId="45" fillId="0" borderId="1" xfId="0" applyFont="1" applyBorder="1" applyAlignment="1">
      <alignment horizontal="left"/>
    </xf>
    <xf numFmtId="0" fontId="45" fillId="0" borderId="1" xfId="0" applyFont="1" applyBorder="1"/>
    <xf numFmtId="0" fontId="22" fillId="0" borderId="21" xfId="0" applyFont="1" applyBorder="1"/>
    <xf numFmtId="1" fontId="26" fillId="0" borderId="37" xfId="0" applyNumberFormat="1" applyFont="1" applyFill="1" applyBorder="1" applyAlignment="1">
      <alignment horizontal="center" vertical="justify" wrapText="1"/>
    </xf>
    <xf numFmtId="0" fontId="22" fillId="0" borderId="28" xfId="0" applyFont="1" applyBorder="1"/>
    <xf numFmtId="0" fontId="40" fillId="0" borderId="73" xfId="0" applyFont="1" applyBorder="1" applyAlignment="1">
      <alignment horizontal="left"/>
    </xf>
    <xf numFmtId="2" fontId="24" fillId="0" borderId="5" xfId="0" applyNumberFormat="1" applyFont="1" applyBorder="1" applyAlignment="1">
      <alignment horizontal="left" vertical="center"/>
    </xf>
    <xf numFmtId="2" fontId="23" fillId="0" borderId="1" xfId="0" applyNumberFormat="1" applyFont="1" applyBorder="1" applyAlignment="1">
      <alignment vertical="center"/>
    </xf>
    <xf numFmtId="2" fontId="24" fillId="0" borderId="1" xfId="0" applyNumberFormat="1" applyFont="1" applyBorder="1" applyAlignment="1">
      <alignment vertical="center"/>
    </xf>
    <xf numFmtId="2" fontId="23" fillId="0" borderId="5" xfId="0" applyNumberFormat="1" applyFont="1" applyBorder="1" applyAlignment="1">
      <alignment horizontal="right"/>
    </xf>
    <xf numFmtId="2" fontId="24" fillId="0" borderId="5" xfId="0" applyNumberFormat="1" applyFont="1" applyBorder="1" applyAlignment="1">
      <alignment horizontal="right"/>
    </xf>
    <xf numFmtId="2" fontId="23" fillId="0" borderId="21" xfId="0" applyNumberFormat="1" applyFont="1" applyBorder="1" applyAlignment="1">
      <alignment vertical="center"/>
    </xf>
    <xf numFmtId="2" fontId="23" fillId="0" borderId="22" xfId="0" applyNumberFormat="1" applyFont="1" applyBorder="1" applyAlignment="1">
      <alignment horizontal="right"/>
    </xf>
    <xf numFmtId="2" fontId="23" fillId="0" borderId="21" xfId="0" applyNumberFormat="1" applyFont="1" applyBorder="1" applyAlignment="1">
      <alignment horizontal="right"/>
    </xf>
    <xf numFmtId="1" fontId="26" fillId="0" borderId="39" xfId="0" applyNumberFormat="1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vertical="center"/>
    </xf>
    <xf numFmtId="0" fontId="24" fillId="0" borderId="29" xfId="0" applyFont="1" applyBorder="1" applyAlignment="1">
      <alignment horizontal="center" vertical="center"/>
    </xf>
    <xf numFmtId="2" fontId="18" fillId="0" borderId="5" xfId="0" applyNumberFormat="1" applyFont="1" applyBorder="1" applyAlignment="1">
      <alignment horizontal="right"/>
    </xf>
    <xf numFmtId="2" fontId="19" fillId="0" borderId="5" xfId="0" applyNumberFormat="1" applyFont="1" applyBorder="1" applyAlignment="1">
      <alignment horizontal="right"/>
    </xf>
    <xf numFmtId="2" fontId="18" fillId="0" borderId="1" xfId="0" applyNumberFormat="1" applyFont="1" applyBorder="1" applyAlignment="1">
      <alignment horizontal="right"/>
    </xf>
    <xf numFmtId="2" fontId="19" fillId="0" borderId="1" xfId="0" applyNumberFormat="1" applyFont="1" applyBorder="1" applyAlignment="1">
      <alignment horizontal="right"/>
    </xf>
    <xf numFmtId="0" fontId="18" fillId="0" borderId="5" xfId="0" applyFont="1" applyBorder="1" applyAlignment="1">
      <alignment horizontal="left"/>
    </xf>
    <xf numFmtId="2" fontId="28" fillId="0" borderId="5" xfId="0" applyNumberFormat="1" applyFont="1" applyBorder="1" applyAlignment="1">
      <alignment horizontal="left"/>
    </xf>
    <xf numFmtId="2" fontId="26" fillId="0" borderId="5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2" fontId="26" fillId="0" borderId="1" xfId="0" applyNumberFormat="1" applyFont="1" applyBorder="1" applyAlignment="1">
      <alignment horizontal="left"/>
    </xf>
    <xf numFmtId="2" fontId="23" fillId="0" borderId="5" xfId="2" applyNumberFormat="1" applyFont="1" applyBorder="1" applyAlignment="1">
      <alignment horizontal="right"/>
    </xf>
    <xf numFmtId="2" fontId="23" fillId="0" borderId="5" xfId="1" applyNumberFormat="1" applyFont="1" applyBorder="1" applyAlignment="1">
      <alignment horizontal="right"/>
    </xf>
    <xf numFmtId="2" fontId="24" fillId="0" borderId="5" xfId="1" applyNumberFormat="1" applyFont="1" applyBorder="1" applyAlignment="1">
      <alignment horizontal="right"/>
    </xf>
    <xf numFmtId="2" fontId="23" fillId="0" borderId="1" xfId="2" applyNumberFormat="1" applyFont="1" applyBorder="1" applyAlignment="1">
      <alignment horizontal="right"/>
    </xf>
    <xf numFmtId="2" fontId="23" fillId="0" borderId="1" xfId="1" applyNumberFormat="1" applyFont="1" applyBorder="1" applyAlignment="1">
      <alignment horizontal="right"/>
    </xf>
    <xf numFmtId="2" fontId="24" fillId="0" borderId="1" xfId="1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3" fillId="0" borderId="5" xfId="0" applyNumberFormat="1" applyFont="1" applyBorder="1" applyAlignment="1">
      <alignment horizontal="right" wrapText="1"/>
    </xf>
    <xf numFmtId="2" fontId="24" fillId="0" borderId="5" xfId="0" applyNumberFormat="1" applyFont="1" applyBorder="1" applyAlignment="1">
      <alignment horizontal="right" wrapText="1"/>
    </xf>
    <xf numFmtId="2" fontId="23" fillId="0" borderId="1" xfId="0" applyNumberFormat="1" applyFont="1" applyBorder="1" applyAlignment="1">
      <alignment horizontal="right" wrapText="1"/>
    </xf>
    <xf numFmtId="2" fontId="24" fillId="0" borderId="1" xfId="0" applyNumberFormat="1" applyFont="1" applyBorder="1" applyAlignment="1">
      <alignment horizontal="right" wrapText="1"/>
    </xf>
    <xf numFmtId="3" fontId="25" fillId="0" borderId="5" xfId="0" applyNumberFormat="1" applyFont="1" applyBorder="1" applyAlignment="1">
      <alignment horizontal="right"/>
    </xf>
    <xf numFmtId="0" fontId="22" fillId="0" borderId="5" xfId="0" applyFont="1" applyBorder="1"/>
    <xf numFmtId="3" fontId="29" fillId="0" borderId="5" xfId="0" applyNumberFormat="1" applyFont="1" applyBorder="1" applyAlignment="1">
      <alignment horizontal="right"/>
    </xf>
    <xf numFmtId="165" fontId="25" fillId="0" borderId="5" xfId="0" applyNumberFormat="1" applyFont="1" applyBorder="1" applyAlignment="1">
      <alignment horizontal="right"/>
    </xf>
    <xf numFmtId="3" fontId="25" fillId="0" borderId="1" xfId="0" applyNumberFormat="1" applyFont="1" applyBorder="1" applyAlignment="1">
      <alignment horizontal="right"/>
    </xf>
    <xf numFmtId="3" fontId="29" fillId="0" borderId="1" xfId="0" applyNumberFormat="1" applyFont="1" applyBorder="1" applyAlignment="1">
      <alignment horizontal="right"/>
    </xf>
    <xf numFmtId="165" fontId="25" fillId="0" borderId="1" xfId="0" applyNumberFormat="1" applyFont="1" applyBorder="1" applyAlignment="1">
      <alignment horizontal="right"/>
    </xf>
    <xf numFmtId="2" fontId="23" fillId="0" borderId="5" xfId="0" applyNumberFormat="1" applyFont="1" applyFill="1" applyBorder="1" applyAlignment="1">
      <alignment horizontal="right"/>
    </xf>
    <xf numFmtId="2" fontId="24" fillId="0" borderId="5" xfId="0" applyNumberFormat="1" applyFont="1" applyFill="1" applyBorder="1" applyAlignment="1">
      <alignment horizontal="right"/>
    </xf>
    <xf numFmtId="2" fontId="24" fillId="0" borderId="1" xfId="0" applyNumberFormat="1" applyFont="1" applyFill="1" applyBorder="1" applyAlignment="1">
      <alignment horizontal="right"/>
    </xf>
    <xf numFmtId="2" fontId="24" fillId="0" borderId="5" xfId="1" applyNumberFormat="1" applyFont="1" applyBorder="1" applyAlignment="1">
      <alignment horizontal="left"/>
    </xf>
    <xf numFmtId="2" fontId="18" fillId="0" borderId="22" xfId="0" applyNumberFormat="1" applyFont="1" applyBorder="1" applyAlignment="1">
      <alignment horizontal="right"/>
    </xf>
    <xf numFmtId="2" fontId="18" fillId="0" borderId="21" xfId="0" applyNumberFormat="1" applyFont="1" applyBorder="1" applyAlignment="1">
      <alignment horizontal="right"/>
    </xf>
    <xf numFmtId="2" fontId="28" fillId="0" borderId="22" xfId="0" applyNumberFormat="1" applyFont="1" applyBorder="1" applyAlignment="1">
      <alignment horizontal="left"/>
    </xf>
    <xf numFmtId="2" fontId="28" fillId="0" borderId="21" xfId="0" applyNumberFormat="1" applyFont="1" applyBorder="1" applyAlignment="1">
      <alignment horizontal="left"/>
    </xf>
    <xf numFmtId="2" fontId="23" fillId="0" borderId="22" xfId="1" applyNumberFormat="1" applyFont="1" applyBorder="1" applyAlignment="1">
      <alignment horizontal="right"/>
    </xf>
    <xf numFmtId="2" fontId="23" fillId="0" borderId="21" xfId="1" applyNumberFormat="1" applyFont="1" applyBorder="1" applyAlignment="1">
      <alignment horizontal="right"/>
    </xf>
    <xf numFmtId="2" fontId="23" fillId="0" borderId="22" xfId="0" applyNumberFormat="1" applyFont="1" applyBorder="1" applyAlignment="1">
      <alignment horizontal="right" wrapText="1"/>
    </xf>
    <xf numFmtId="2" fontId="23" fillId="0" borderId="21" xfId="0" applyNumberFormat="1" applyFont="1" applyBorder="1" applyAlignment="1">
      <alignment horizontal="right" wrapText="1"/>
    </xf>
    <xf numFmtId="3" fontId="25" fillId="0" borderId="22" xfId="0" applyNumberFormat="1" applyFont="1" applyBorder="1" applyAlignment="1">
      <alignment horizontal="right"/>
    </xf>
    <xf numFmtId="3" fontId="25" fillId="0" borderId="21" xfId="0" applyNumberFormat="1" applyFont="1" applyBorder="1" applyAlignment="1">
      <alignment horizontal="right"/>
    </xf>
    <xf numFmtId="2" fontId="23" fillId="0" borderId="22" xfId="0" applyNumberFormat="1" applyFont="1" applyFill="1" applyBorder="1" applyAlignment="1">
      <alignment horizontal="right"/>
    </xf>
    <xf numFmtId="2" fontId="24" fillId="0" borderId="21" xfId="0" applyNumberFormat="1" applyFont="1" applyBorder="1" applyAlignment="1">
      <alignment horizontal="right"/>
    </xf>
    <xf numFmtId="0" fontId="24" fillId="0" borderId="21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8" fillId="0" borderId="29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28" fillId="0" borderId="22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8" fillId="0" borderId="3" xfId="0" applyFont="1" applyBorder="1"/>
    <xf numFmtId="0" fontId="28" fillId="0" borderId="28" xfId="0" applyFont="1" applyBorder="1" applyAlignment="1">
      <alignment horizontal="left"/>
    </xf>
    <xf numFmtId="0" fontId="28" fillId="0" borderId="8" xfId="0" applyFont="1" applyBorder="1"/>
    <xf numFmtId="0" fontId="37" fillId="0" borderId="68" xfId="0" applyFont="1" applyBorder="1" applyAlignment="1">
      <alignment horizontal="left"/>
    </xf>
    <xf numFmtId="0" fontId="53" fillId="0" borderId="30" xfId="0" applyFont="1" applyBorder="1" applyAlignment="1">
      <alignment horizontal="left"/>
    </xf>
    <xf numFmtId="0" fontId="47" fillId="0" borderId="30" xfId="0" applyFont="1" applyBorder="1" applyAlignment="1">
      <alignment horizontal="left"/>
    </xf>
    <xf numFmtId="0" fontId="53" fillId="0" borderId="1" xfId="0" applyFont="1" applyBorder="1" applyAlignment="1">
      <alignment horizontal="left"/>
    </xf>
    <xf numFmtId="0" fontId="47" fillId="0" borderId="1" xfId="0" applyFont="1" applyBorder="1" applyAlignment="1">
      <alignment horizontal="left"/>
    </xf>
    <xf numFmtId="3" fontId="25" fillId="0" borderId="5" xfId="0" applyNumberFormat="1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28" fillId="0" borderId="21" xfId="0" applyFont="1" applyBorder="1" applyAlignment="1">
      <alignment horizontal="left"/>
    </xf>
    <xf numFmtId="3" fontId="25" fillId="0" borderId="22" xfId="0" applyNumberFormat="1" applyFont="1" applyBorder="1" applyAlignment="1">
      <alignment horizontal="left"/>
    </xf>
    <xf numFmtId="3" fontId="25" fillId="0" borderId="21" xfId="0" applyNumberFormat="1" applyFont="1" applyBorder="1" applyAlignment="1">
      <alignment horizontal="left"/>
    </xf>
    <xf numFmtId="0" fontId="28" fillId="0" borderId="18" xfId="0" applyFont="1" applyBorder="1"/>
    <xf numFmtId="0" fontId="29" fillId="0" borderId="28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3" fontId="28" fillId="0" borderId="3" xfId="0" applyNumberFormat="1" applyFont="1" applyBorder="1" applyAlignment="1">
      <alignment horizontal="left"/>
    </xf>
    <xf numFmtId="3" fontId="28" fillId="0" borderId="4" xfId="0" applyNumberFormat="1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3" fontId="29" fillId="0" borderId="4" xfId="0" applyNumberFormat="1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3" fontId="29" fillId="0" borderId="3" xfId="0" applyNumberFormat="1" applyFont="1" applyBorder="1" applyAlignment="1">
      <alignment horizontal="left"/>
    </xf>
    <xf numFmtId="0" fontId="54" fillId="0" borderId="4" xfId="0" applyFont="1" applyBorder="1" applyAlignment="1">
      <alignment horizontal="left"/>
    </xf>
    <xf numFmtId="0" fontId="54" fillId="0" borderId="3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165" fontId="25" fillId="0" borderId="4" xfId="0" applyNumberFormat="1" applyFont="1" applyBorder="1" applyAlignment="1">
      <alignment horizontal="left"/>
    </xf>
    <xf numFmtId="0" fontId="55" fillId="0" borderId="4" xfId="0" applyFont="1" applyBorder="1" applyAlignment="1">
      <alignment horizontal="left"/>
    </xf>
    <xf numFmtId="0" fontId="55" fillId="0" borderId="3" xfId="0" applyFont="1" applyBorder="1" applyAlignment="1">
      <alignment horizontal="left"/>
    </xf>
    <xf numFmtId="0" fontId="26" fillId="0" borderId="31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3" fontId="25" fillId="0" borderId="18" xfId="0" applyNumberFormat="1" applyFont="1" applyBorder="1" applyAlignment="1">
      <alignment horizontal="left"/>
    </xf>
    <xf numFmtId="3" fontId="25" fillId="0" borderId="20" xfId="0" applyNumberFormat="1" applyFont="1" applyBorder="1" applyAlignment="1">
      <alignment horizontal="left"/>
    </xf>
    <xf numFmtId="3" fontId="28" fillId="0" borderId="18" xfId="0" applyNumberFormat="1" applyFont="1" applyBorder="1" applyAlignment="1">
      <alignment horizontal="left"/>
    </xf>
    <xf numFmtId="3" fontId="28" fillId="0" borderId="20" xfId="0" applyNumberFormat="1" applyFont="1" applyBorder="1" applyAlignment="1">
      <alignment horizontal="left"/>
    </xf>
    <xf numFmtId="0" fontId="29" fillId="0" borderId="68" xfId="0" applyFont="1" applyBorder="1" applyAlignment="1">
      <alignment horizontal="left"/>
    </xf>
    <xf numFmtId="3" fontId="25" fillId="0" borderId="8" xfId="0" applyNumberFormat="1" applyFont="1" applyBorder="1" applyAlignment="1">
      <alignment horizontal="left"/>
    </xf>
    <xf numFmtId="3" fontId="25" fillId="0" borderId="9" xfId="0" applyNumberFormat="1" applyFont="1" applyBorder="1" applyAlignment="1">
      <alignment horizontal="left"/>
    </xf>
    <xf numFmtId="3" fontId="28" fillId="0" borderId="8" xfId="0" applyNumberFormat="1" applyFont="1" applyBorder="1" applyAlignment="1">
      <alignment horizontal="left"/>
    </xf>
    <xf numFmtId="3" fontId="28" fillId="0" borderId="9" xfId="0" applyNumberFormat="1" applyFont="1" applyBorder="1" applyAlignment="1">
      <alignment horizontal="left"/>
    </xf>
    <xf numFmtId="0" fontId="38" fillId="0" borderId="55" xfId="0" applyFont="1" applyBorder="1" applyAlignment="1">
      <alignment horizontal="left" vertical="justify" wrapText="1"/>
    </xf>
    <xf numFmtId="0" fontId="24" fillId="0" borderId="15" xfId="0" applyFont="1" applyBorder="1" applyAlignment="1">
      <alignment horizontal="left"/>
    </xf>
    <xf numFmtId="0" fontId="45" fillId="0" borderId="75" xfId="0" applyFont="1" applyBorder="1" applyAlignment="1">
      <alignment horizontal="left"/>
    </xf>
    <xf numFmtId="0" fontId="32" fillId="0" borderId="54" xfId="0" applyFont="1" applyBorder="1" applyAlignment="1">
      <alignment horizontal="left"/>
    </xf>
    <xf numFmtId="0" fontId="32" fillId="0" borderId="66" xfId="0" applyFont="1" applyBorder="1" applyAlignment="1">
      <alignment horizontal="left"/>
    </xf>
    <xf numFmtId="0" fontId="32" fillId="0" borderId="65" xfId="0" applyFont="1" applyBorder="1" applyAlignment="1">
      <alignment horizontal="left"/>
    </xf>
    <xf numFmtId="0" fontId="32" fillId="0" borderId="73" xfId="0" applyFont="1" applyBorder="1" applyAlignment="1">
      <alignment horizontal="left"/>
    </xf>
    <xf numFmtId="0" fontId="33" fillId="0" borderId="58" xfId="0" applyFont="1" applyBorder="1" applyAlignment="1">
      <alignment horizontal="left"/>
    </xf>
    <xf numFmtId="1" fontId="18" fillId="0" borderId="28" xfId="0" applyNumberFormat="1" applyFont="1" applyBorder="1" applyAlignment="1">
      <alignment horizontal="left" vertical="center"/>
    </xf>
    <xf numFmtId="1" fontId="18" fillId="0" borderId="1" xfId="0" applyNumberFormat="1" applyFont="1" applyBorder="1" applyAlignment="1">
      <alignment horizontal="left" vertical="center"/>
    </xf>
    <xf numFmtId="1" fontId="18" fillId="0" borderId="21" xfId="0" applyNumberFormat="1" applyFont="1" applyBorder="1" applyAlignment="1">
      <alignment horizontal="left" vertical="center"/>
    </xf>
    <xf numFmtId="1" fontId="1" fillId="0" borderId="74" xfId="0" applyNumberFormat="1" applyFont="1" applyBorder="1" applyAlignment="1">
      <alignment horizontal="left" vertical="center"/>
    </xf>
    <xf numFmtId="2" fontId="19" fillId="0" borderId="2" xfId="0" applyNumberFormat="1" applyFont="1" applyFill="1" applyBorder="1" applyAlignment="1">
      <alignment horizontal="left" vertical="top" shrinkToFit="1"/>
    </xf>
    <xf numFmtId="2" fontId="19" fillId="0" borderId="3" xfId="0" applyNumberFormat="1" applyFont="1" applyFill="1" applyBorder="1" applyAlignment="1">
      <alignment horizontal="left" vertical="top" shrinkToFit="1"/>
    </xf>
    <xf numFmtId="2" fontId="19" fillId="0" borderId="11" xfId="0" applyNumberFormat="1" applyFont="1" applyFill="1" applyBorder="1" applyAlignment="1">
      <alignment horizontal="left" vertical="top" shrinkToFit="1"/>
    </xf>
    <xf numFmtId="2" fontId="19" fillId="0" borderId="12" xfId="0" applyNumberFormat="1" applyFont="1" applyFill="1" applyBorder="1" applyAlignment="1">
      <alignment horizontal="left" vertical="top" shrinkToFit="1"/>
    </xf>
    <xf numFmtId="0" fontId="26" fillId="0" borderId="69" xfId="0" applyFont="1" applyBorder="1" applyAlignment="1">
      <alignment horizontal="left" vertical="center"/>
    </xf>
    <xf numFmtId="1" fontId="40" fillId="0" borderId="24" xfId="0" applyNumberFormat="1" applyFont="1" applyBorder="1" applyAlignment="1">
      <alignment horizontal="left" vertical="center"/>
    </xf>
    <xf numFmtId="1" fontId="40" fillId="0" borderId="76" xfId="0" applyNumberFormat="1" applyFont="1" applyBorder="1" applyAlignment="1">
      <alignment horizontal="left" vertical="center"/>
    </xf>
    <xf numFmtId="1" fontId="28" fillId="0" borderId="62" xfId="0" applyNumberFormat="1" applyFont="1" applyBorder="1" applyAlignment="1">
      <alignment horizontal="left"/>
    </xf>
    <xf numFmtId="3" fontId="29" fillId="0" borderId="5" xfId="0" applyNumberFormat="1" applyFont="1" applyBorder="1" applyAlignment="1">
      <alignment horizontal="left"/>
    </xf>
    <xf numFmtId="3" fontId="29" fillId="0" borderId="1" xfId="0" applyNumberFormat="1" applyFont="1" applyBorder="1" applyAlignment="1">
      <alignment horizontal="left"/>
    </xf>
    <xf numFmtId="0" fontId="26" fillId="0" borderId="3" xfId="0" applyFont="1" applyBorder="1"/>
    <xf numFmtId="0" fontId="26" fillId="0" borderId="4" xfId="0" applyFont="1" applyBorder="1"/>
    <xf numFmtId="0" fontId="26" fillId="0" borderId="0" xfId="0" applyFont="1"/>
    <xf numFmtId="0" fontId="22" fillId="0" borderId="1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45" fillId="0" borderId="3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40" fillId="0" borderId="66" xfId="0" applyFont="1" applyBorder="1" applyAlignment="1">
      <alignment horizontal="justify" vertical="justify" wrapText="1"/>
    </xf>
    <xf numFmtId="0" fontId="40" fillId="0" borderId="54" xfId="0" applyFont="1" applyBorder="1" applyAlignment="1">
      <alignment horizontal="justify" vertical="justify" wrapText="1"/>
    </xf>
    <xf numFmtId="0" fontId="47" fillId="0" borderId="5" xfId="0" applyFont="1" applyBorder="1" applyAlignment="1">
      <alignment horizontal="left"/>
    </xf>
    <xf numFmtId="3" fontId="47" fillId="0" borderId="5" xfId="0" applyNumberFormat="1" applyFont="1" applyBorder="1" applyAlignment="1">
      <alignment horizontal="left"/>
    </xf>
    <xf numFmtId="3" fontId="47" fillId="0" borderId="1" xfId="0" applyNumberFormat="1" applyFont="1" applyBorder="1" applyAlignment="1">
      <alignment horizontal="left"/>
    </xf>
    <xf numFmtId="0" fontId="47" fillId="0" borderId="3" xfId="0" applyFont="1" applyBorder="1" applyAlignment="1">
      <alignment horizontal="left"/>
    </xf>
    <xf numFmtId="0" fontId="47" fillId="0" borderId="4" xfId="0" applyFont="1" applyBorder="1" applyAlignment="1">
      <alignment horizontal="left"/>
    </xf>
    <xf numFmtId="0" fontId="47" fillId="0" borderId="3" xfId="0" applyFont="1" applyBorder="1"/>
    <xf numFmtId="0" fontId="47" fillId="0" borderId="4" xfId="0" applyFont="1" applyBorder="1"/>
    <xf numFmtId="0" fontId="47" fillId="0" borderId="0" xfId="0" applyFont="1"/>
    <xf numFmtId="1" fontId="28" fillId="0" borderId="8" xfId="0" applyNumberFormat="1" applyFont="1" applyBorder="1"/>
    <xf numFmtId="1" fontId="28" fillId="0" borderId="3" xfId="0" applyNumberFormat="1" applyFont="1" applyBorder="1"/>
    <xf numFmtId="0" fontId="40" fillId="0" borderId="58" xfId="0" applyFont="1" applyBorder="1" applyAlignment="1">
      <alignment horizontal="justify" vertical="justify" wrapText="1"/>
    </xf>
    <xf numFmtId="0" fontId="40" fillId="0" borderId="0" xfId="0" applyFont="1" applyAlignment="1">
      <alignment horizontal="justify" vertical="justify" wrapText="1"/>
    </xf>
    <xf numFmtId="3" fontId="3" fillId="0" borderId="66" xfId="0" applyNumberFormat="1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0" fontId="3" fillId="0" borderId="54" xfId="0" applyFont="1" applyBorder="1" applyAlignment="1">
      <alignment horizontal="left"/>
    </xf>
    <xf numFmtId="3" fontId="3" fillId="0" borderId="52" xfId="0" applyNumberFormat="1" applyFont="1" applyBorder="1" applyAlignment="1">
      <alignment horizontal="left"/>
    </xf>
    <xf numFmtId="0" fontId="10" fillId="0" borderId="66" xfId="0" applyFont="1" applyBorder="1" applyAlignment="1">
      <alignment horizontal="left"/>
    </xf>
    <xf numFmtId="0" fontId="10" fillId="0" borderId="52" xfId="0" applyFont="1" applyBorder="1" applyAlignment="1">
      <alignment horizontal="left"/>
    </xf>
    <xf numFmtId="3" fontId="10" fillId="0" borderId="9" xfId="0" applyNumberFormat="1" applyFont="1" applyBorder="1" applyAlignment="1">
      <alignment horizontal="left"/>
    </xf>
    <xf numFmtId="3" fontId="10" fillId="0" borderId="8" xfId="0" applyNumberFormat="1" applyFont="1" applyBorder="1" applyAlignment="1">
      <alignment horizontal="left"/>
    </xf>
    <xf numFmtId="3" fontId="10" fillId="0" borderId="52" xfId="0" applyNumberFormat="1" applyFont="1" applyBorder="1" applyAlignment="1">
      <alignment horizontal="left"/>
    </xf>
    <xf numFmtId="0" fontId="10" fillId="0" borderId="73" xfId="0" applyFont="1" applyBorder="1" applyAlignment="1">
      <alignment horizontal="left"/>
    </xf>
    <xf numFmtId="0" fontId="10" fillId="0" borderId="54" xfId="0" applyFont="1" applyBorder="1" applyAlignment="1">
      <alignment horizontal="left"/>
    </xf>
    <xf numFmtId="3" fontId="10" fillId="0" borderId="66" xfId="0" applyNumberFormat="1" applyFont="1" applyBorder="1" applyAlignment="1">
      <alignment horizontal="left"/>
    </xf>
    <xf numFmtId="1" fontId="27" fillId="0" borderId="7" xfId="0" applyNumberFormat="1" applyFont="1" applyBorder="1" applyAlignment="1">
      <alignment horizontal="left"/>
    </xf>
    <xf numFmtId="1" fontId="18" fillId="0" borderId="50" xfId="0" applyNumberFormat="1" applyFont="1" applyBorder="1" applyAlignment="1">
      <alignment horizontal="left" vertical="center"/>
    </xf>
    <xf numFmtId="1" fontId="18" fillId="0" borderId="15" xfId="0" applyNumberFormat="1" applyFont="1" applyBorder="1" applyAlignment="1">
      <alignment horizontal="left"/>
    </xf>
    <xf numFmtId="1" fontId="18" fillId="0" borderId="63" xfId="0" applyNumberFormat="1" applyFont="1" applyBorder="1" applyAlignment="1">
      <alignment horizontal="left" vertical="center"/>
    </xf>
    <xf numFmtId="2" fontId="38" fillId="0" borderId="64" xfId="0" applyNumberFormat="1" applyFont="1" applyBorder="1" applyAlignment="1">
      <alignment horizontal="left"/>
    </xf>
    <xf numFmtId="1" fontId="18" fillId="0" borderId="7" xfId="0" applyNumberFormat="1" applyFont="1" applyBorder="1" applyAlignment="1">
      <alignment horizontal="left" wrapText="1"/>
    </xf>
    <xf numFmtId="3" fontId="0" fillId="0" borderId="0" xfId="0" applyNumberFormat="1"/>
    <xf numFmtId="2" fontId="23" fillId="0" borderId="3" xfId="1" applyNumberFormat="1" applyFont="1" applyBorder="1" applyAlignment="1">
      <alignment horizontal="right"/>
    </xf>
    <xf numFmtId="2" fontId="24" fillId="0" borderId="3" xfId="0" applyNumberFormat="1" applyFont="1" applyBorder="1" applyAlignment="1">
      <alignment horizontal="left" vertical="center"/>
    </xf>
    <xf numFmtId="2" fontId="24" fillId="0" borderId="3" xfId="1" applyNumberFormat="1" applyFont="1" applyBorder="1" applyAlignment="1">
      <alignment horizontal="right"/>
    </xf>
    <xf numFmtId="2" fontId="23" fillId="0" borderId="3" xfId="0" applyNumberFormat="1" applyFont="1" applyBorder="1" applyAlignment="1">
      <alignment horizontal="right"/>
    </xf>
    <xf numFmtId="2" fontId="23" fillId="0" borderId="18" xfId="1" applyNumberFormat="1" applyFont="1" applyBorder="1" applyAlignment="1">
      <alignment horizontal="right"/>
    </xf>
    <xf numFmtId="0" fontId="56" fillId="0" borderId="0" xfId="0" applyFont="1" applyAlignment="1">
      <alignment horizontal="left"/>
    </xf>
    <xf numFmtId="2" fontId="18" fillId="0" borderId="28" xfId="0" applyNumberFormat="1" applyFont="1" applyBorder="1" applyAlignment="1">
      <alignment horizontal="left"/>
    </xf>
    <xf numFmtId="2" fontId="1" fillId="0" borderId="11" xfId="0" applyNumberFormat="1" applyFont="1" applyBorder="1" applyAlignment="1">
      <alignment horizontal="left"/>
    </xf>
    <xf numFmtId="2" fontId="1" fillId="0" borderId="12" xfId="0" applyNumberFormat="1" applyFont="1" applyBorder="1" applyAlignment="1">
      <alignment horizontal="left"/>
    </xf>
    <xf numFmtId="3" fontId="26" fillId="0" borderId="4" xfId="0" applyNumberFormat="1" applyFont="1" applyBorder="1" applyAlignment="1">
      <alignment horizontal="left"/>
    </xf>
    <xf numFmtId="2" fontId="19" fillId="0" borderId="62" xfId="0" applyNumberFormat="1" applyFont="1" applyBorder="1" applyAlignment="1">
      <alignment horizontal="left"/>
    </xf>
    <xf numFmtId="1" fontId="18" fillId="0" borderId="13" xfId="0" applyNumberFormat="1" applyFont="1" applyBorder="1" applyAlignment="1">
      <alignment horizontal="left"/>
    </xf>
    <xf numFmtId="1" fontId="18" fillId="0" borderId="51" xfId="0" applyNumberFormat="1" applyFont="1" applyBorder="1" applyAlignment="1">
      <alignment horizontal="left"/>
    </xf>
    <xf numFmtId="1" fontId="18" fillId="0" borderId="13" xfId="1" applyNumberFormat="1" applyFont="1" applyBorder="1" applyAlignment="1">
      <alignment horizontal="left"/>
    </xf>
    <xf numFmtId="1" fontId="18" fillId="0" borderId="51" xfId="1" applyNumberFormat="1" applyFont="1" applyBorder="1" applyAlignment="1">
      <alignment horizontal="left"/>
    </xf>
    <xf numFmtId="1" fontId="20" fillId="0" borderId="30" xfId="0" applyNumberFormat="1" applyFont="1" applyFill="1" applyBorder="1" applyAlignment="1">
      <alignment horizontal="left" vertical="center" wrapText="1"/>
    </xf>
    <xf numFmtId="1" fontId="20" fillId="0" borderId="30" xfId="0" applyNumberFormat="1" applyFont="1" applyFill="1" applyBorder="1" applyAlignment="1">
      <alignment horizontal="left" vertical="top" wrapText="1"/>
    </xf>
    <xf numFmtId="1" fontId="39" fillId="0" borderId="30" xfId="0" applyNumberFormat="1" applyFont="1" applyFill="1" applyBorder="1" applyAlignment="1">
      <alignment horizontal="left" vertical="top" wrapText="1"/>
    </xf>
    <xf numFmtId="1" fontId="27" fillId="0" borderId="30" xfId="0" applyNumberFormat="1" applyFont="1" applyFill="1" applyBorder="1" applyAlignment="1">
      <alignment horizontal="left" vertical="top" wrapText="1"/>
    </xf>
    <xf numFmtId="1" fontId="1" fillId="0" borderId="30" xfId="0" applyNumberFormat="1" applyFont="1" applyFill="1" applyBorder="1" applyAlignment="1">
      <alignment horizontal="left" vertical="top" wrapText="1"/>
    </xf>
    <xf numFmtId="1" fontId="4" fillId="0" borderId="30" xfId="0" applyNumberFormat="1" applyFont="1" applyFill="1" applyBorder="1" applyAlignment="1">
      <alignment horizontal="left" vertical="top" wrapText="1"/>
    </xf>
    <xf numFmtId="1" fontId="20" fillId="0" borderId="31" xfId="0" applyNumberFormat="1" applyFont="1" applyFill="1" applyBorder="1" applyAlignment="1">
      <alignment horizontal="left" vertical="top" wrapText="1"/>
    </xf>
    <xf numFmtId="1" fontId="38" fillId="0" borderId="31" xfId="0" applyNumberFormat="1" applyFont="1" applyFill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left"/>
    </xf>
    <xf numFmtId="1" fontId="1" fillId="0" borderId="20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left" vertical="center"/>
    </xf>
    <xf numFmtId="2" fontId="20" fillId="0" borderId="71" xfId="0" applyNumberFormat="1" applyFont="1" applyFill="1" applyBorder="1" applyAlignment="1">
      <alignment horizontal="left" vertical="center" wrapText="1"/>
    </xf>
    <xf numFmtId="1" fontId="4" fillId="0" borderId="79" xfId="0" applyNumberFormat="1" applyFont="1" applyFill="1" applyBorder="1" applyAlignment="1">
      <alignment horizontal="left" vertical="top" wrapText="1"/>
    </xf>
    <xf numFmtId="1" fontId="38" fillId="0" borderId="21" xfId="0" applyNumberFormat="1" applyFont="1" applyFill="1" applyBorder="1" applyAlignment="1">
      <alignment horizontal="left" vertical="center"/>
    </xf>
    <xf numFmtId="2" fontId="18" fillId="0" borderId="1" xfId="0" applyNumberFormat="1" applyFont="1" applyBorder="1" applyAlignment="1">
      <alignment horizontal="left" vertical="center"/>
    </xf>
    <xf numFmtId="2" fontId="18" fillId="0" borderId="3" xfId="0" applyNumberFormat="1" applyFont="1" applyBorder="1" applyAlignment="1">
      <alignment horizontal="left" vertical="center"/>
    </xf>
    <xf numFmtId="2" fontId="19" fillId="0" borderId="62" xfId="0" applyNumberFormat="1" applyFont="1" applyBorder="1" applyAlignment="1">
      <alignment horizontal="left" vertical="center"/>
    </xf>
    <xf numFmtId="2" fontId="19" fillId="0" borderId="12" xfId="0" applyNumberFormat="1" applyFont="1" applyBorder="1" applyAlignment="1">
      <alignment horizontal="left" vertical="center"/>
    </xf>
    <xf numFmtId="0" fontId="57" fillId="0" borderId="14" xfId="0" applyFont="1" applyBorder="1" applyAlignment="1">
      <alignment horizontal="left"/>
    </xf>
    <xf numFmtId="0" fontId="57" fillId="0" borderId="16" xfId="0" applyFont="1" applyBorder="1" applyAlignment="1">
      <alignment horizontal="left"/>
    </xf>
    <xf numFmtId="0" fontId="52" fillId="0" borderId="16" xfId="0" applyFont="1" applyBorder="1" applyAlignment="1">
      <alignment horizontal="left"/>
    </xf>
    <xf numFmtId="0" fontId="52" fillId="0" borderId="15" xfId="0" applyFont="1" applyBorder="1" applyAlignment="1">
      <alignment horizontal="left"/>
    </xf>
    <xf numFmtId="0" fontId="52" fillId="0" borderId="14" xfId="0" applyFont="1" applyBorder="1" applyAlignment="1">
      <alignment horizontal="left"/>
    </xf>
    <xf numFmtId="0" fontId="52" fillId="0" borderId="1" xfId="0" applyFont="1" applyBorder="1" applyAlignment="1">
      <alignment horizontal="left"/>
    </xf>
    <xf numFmtId="0" fontId="52" fillId="0" borderId="3" xfId="0" applyFont="1" applyBorder="1" applyAlignment="1">
      <alignment horizontal="left"/>
    </xf>
    <xf numFmtId="0" fontId="58" fillId="0" borderId="0" xfId="0" applyFont="1"/>
    <xf numFmtId="0" fontId="22" fillId="0" borderId="33" xfId="0" applyFont="1" applyBorder="1" applyAlignment="1">
      <alignment horizontal="left"/>
    </xf>
    <xf numFmtId="0" fontId="22" fillId="0" borderId="34" xfId="0" applyFont="1" applyBorder="1" applyAlignment="1">
      <alignment horizontal="left"/>
    </xf>
    <xf numFmtId="0" fontId="22" fillId="0" borderId="62" xfId="0" applyFont="1" applyBorder="1" applyAlignment="1">
      <alignment horizontal="left"/>
    </xf>
    <xf numFmtId="1" fontId="23" fillId="0" borderId="21" xfId="2" applyNumberFormat="1" applyFont="1" applyBorder="1" applyAlignment="1">
      <alignment horizontal="left"/>
    </xf>
    <xf numFmtId="1" fontId="23" fillId="0" borderId="18" xfId="2" applyNumberFormat="1" applyFont="1" applyBorder="1" applyAlignment="1">
      <alignment horizontal="left"/>
    </xf>
    <xf numFmtId="1" fontId="23" fillId="0" borderId="18" xfId="1" applyNumberFormat="1" applyFont="1" applyBorder="1" applyAlignment="1">
      <alignment horizontal="left"/>
    </xf>
    <xf numFmtId="0" fontId="47" fillId="0" borderId="58" xfId="0" applyFont="1" applyBorder="1" applyAlignment="1">
      <alignment horizontal="left"/>
    </xf>
    <xf numFmtId="1" fontId="47" fillId="0" borderId="52" xfId="0" applyNumberFormat="1" applyFont="1" applyBorder="1" applyAlignment="1">
      <alignment horizontal="left"/>
    </xf>
    <xf numFmtId="1" fontId="47" fillId="0" borderId="55" xfId="0" applyNumberFormat="1" applyFont="1" applyBorder="1" applyAlignment="1">
      <alignment horizontal="left"/>
    </xf>
    <xf numFmtId="2" fontId="47" fillId="0" borderId="77" xfId="0" applyNumberFormat="1" applyFont="1" applyBorder="1" applyAlignment="1">
      <alignment horizontal="left"/>
    </xf>
    <xf numFmtId="2" fontId="47" fillId="0" borderId="35" xfId="0" applyNumberFormat="1" applyFont="1" applyBorder="1" applyAlignment="1">
      <alignment horizontal="left"/>
    </xf>
    <xf numFmtId="2" fontId="47" fillId="0" borderId="78" xfId="0" applyNumberFormat="1" applyFont="1" applyBorder="1" applyAlignment="1">
      <alignment horizontal="left"/>
    </xf>
    <xf numFmtId="1" fontId="47" fillId="0" borderId="35" xfId="0" applyNumberFormat="1" applyFont="1" applyBorder="1" applyAlignment="1">
      <alignment horizontal="left"/>
    </xf>
    <xf numFmtId="1" fontId="47" fillId="0" borderId="65" xfId="0" applyNumberFormat="1" applyFont="1" applyBorder="1" applyAlignment="1">
      <alignment horizontal="left"/>
    </xf>
    <xf numFmtId="1" fontId="47" fillId="0" borderId="66" xfId="0" applyNumberFormat="1" applyFont="1" applyBorder="1" applyAlignment="1">
      <alignment horizontal="left"/>
    </xf>
    <xf numFmtId="1" fontId="47" fillId="0" borderId="53" xfId="0" applyNumberFormat="1" applyFont="1" applyBorder="1" applyAlignment="1">
      <alignment horizontal="left"/>
    </xf>
    <xf numFmtId="2" fontId="47" fillId="0" borderId="53" xfId="0" applyNumberFormat="1" applyFont="1" applyBorder="1" applyAlignment="1">
      <alignment horizontal="left"/>
    </xf>
    <xf numFmtId="2" fontId="47" fillId="0" borderId="55" xfId="0" applyNumberFormat="1" applyFont="1" applyBorder="1" applyAlignment="1">
      <alignment horizontal="left"/>
    </xf>
    <xf numFmtId="2" fontId="47" fillId="0" borderId="52" xfId="0" applyNumberFormat="1" applyFont="1" applyBorder="1" applyAlignment="1">
      <alignment horizontal="left"/>
    </xf>
    <xf numFmtId="2" fontId="47" fillId="0" borderId="66" xfId="0" applyNumberFormat="1" applyFont="1" applyBorder="1" applyAlignment="1">
      <alignment horizontal="left"/>
    </xf>
    <xf numFmtId="0" fontId="47" fillId="0" borderId="0" xfId="0" applyFont="1" applyAlignment="1">
      <alignment horizontal="left"/>
    </xf>
    <xf numFmtId="0" fontId="47" fillId="0" borderId="64" xfId="0" applyFont="1" applyBorder="1" applyAlignment="1">
      <alignment horizontal="left"/>
    </xf>
    <xf numFmtId="1" fontId="47" fillId="0" borderId="26" xfId="0" applyNumberFormat="1" applyFont="1" applyBorder="1" applyAlignment="1">
      <alignment horizontal="left"/>
    </xf>
    <xf numFmtId="1" fontId="47" fillId="0" borderId="25" xfId="0" applyNumberFormat="1" applyFont="1" applyBorder="1" applyAlignment="1">
      <alignment horizontal="left"/>
    </xf>
    <xf numFmtId="2" fontId="47" fillId="0" borderId="74" xfId="0" applyNumberFormat="1" applyFont="1" applyBorder="1" applyAlignment="1">
      <alignment horizontal="left"/>
    </xf>
    <xf numFmtId="2" fontId="47" fillId="0" borderId="49" xfId="0" applyNumberFormat="1" applyFont="1" applyBorder="1" applyAlignment="1">
      <alignment horizontal="left"/>
    </xf>
    <xf numFmtId="2" fontId="47" fillId="0" borderId="67" xfId="0" applyNumberFormat="1" applyFont="1" applyBorder="1" applyAlignment="1">
      <alignment horizontal="left"/>
    </xf>
    <xf numFmtId="1" fontId="47" fillId="0" borderId="49" xfId="0" applyNumberFormat="1" applyFont="1" applyBorder="1" applyAlignment="1">
      <alignment horizontal="left"/>
    </xf>
    <xf numFmtId="1" fontId="47" fillId="0" borderId="24" xfId="0" applyNumberFormat="1" applyFont="1" applyBorder="1" applyAlignment="1">
      <alignment horizontal="left"/>
    </xf>
    <xf numFmtId="1" fontId="47" fillId="0" borderId="0" xfId="0" applyNumberFormat="1" applyFont="1" applyBorder="1" applyAlignment="1">
      <alignment horizontal="left"/>
    </xf>
    <xf numFmtId="1" fontId="47" fillId="0" borderId="17" xfId="0" applyNumberFormat="1" applyFont="1" applyBorder="1" applyAlignment="1">
      <alignment horizontal="left"/>
    </xf>
    <xf numFmtId="0" fontId="47" fillId="0" borderId="26" xfId="0" applyFont="1" applyBorder="1" applyAlignment="1">
      <alignment horizontal="left"/>
    </xf>
    <xf numFmtId="0" fontId="47" fillId="0" borderId="35" xfId="0" applyFont="1" applyBorder="1" applyAlignment="1">
      <alignment horizontal="left"/>
    </xf>
    <xf numFmtId="1" fontId="47" fillId="0" borderId="41" xfId="0" applyNumberFormat="1" applyFont="1" applyBorder="1" applyAlignment="1">
      <alignment horizontal="left"/>
    </xf>
    <xf numFmtId="1" fontId="47" fillId="0" borderId="40" xfId="0" applyNumberFormat="1" applyFont="1" applyBorder="1" applyAlignment="1">
      <alignment horizontal="left"/>
    </xf>
    <xf numFmtId="0" fontId="56" fillId="0" borderId="59" xfId="0" applyFont="1" applyBorder="1" applyAlignment="1">
      <alignment horizontal="left"/>
    </xf>
    <xf numFmtId="0" fontId="56" fillId="0" borderId="61" xfId="0" applyFont="1" applyBorder="1" applyAlignment="1">
      <alignment horizontal="left"/>
    </xf>
    <xf numFmtId="0" fontId="56" fillId="0" borderId="12" xfId="0" applyFont="1" applyBorder="1" applyAlignment="1">
      <alignment horizontal="left"/>
    </xf>
    <xf numFmtId="0" fontId="56" fillId="0" borderId="70" xfId="0" applyFont="1" applyBorder="1" applyAlignment="1">
      <alignment horizontal="left"/>
    </xf>
    <xf numFmtId="0" fontId="56" fillId="0" borderId="61" xfId="0" applyFont="1" applyBorder="1" applyAlignment="1">
      <alignment horizontal="center"/>
    </xf>
    <xf numFmtId="0" fontId="56" fillId="0" borderId="75" xfId="0" applyFont="1" applyBorder="1" applyAlignment="1">
      <alignment horizontal="center"/>
    </xf>
    <xf numFmtId="0" fontId="56" fillId="0" borderId="59" xfId="0" applyFont="1" applyBorder="1" applyAlignment="1">
      <alignment horizontal="center"/>
    </xf>
    <xf numFmtId="0" fontId="56" fillId="0" borderId="0" xfId="0" applyFont="1"/>
    <xf numFmtId="0" fontId="56" fillId="0" borderId="58" xfId="0" applyFont="1" applyBorder="1" applyAlignment="1">
      <alignment horizontal="left"/>
    </xf>
    <xf numFmtId="0" fontId="56" fillId="0" borderId="58" xfId="0" applyFont="1" applyBorder="1"/>
    <xf numFmtId="0" fontId="56" fillId="0" borderId="54" xfId="0" applyFont="1" applyBorder="1"/>
    <xf numFmtId="2" fontId="56" fillId="0" borderId="54" xfId="0" applyNumberFormat="1" applyFont="1" applyBorder="1" applyAlignment="1">
      <alignment vertical="center"/>
    </xf>
    <xf numFmtId="2" fontId="56" fillId="0" borderId="73" xfId="0" applyNumberFormat="1" applyFont="1" applyBorder="1" applyAlignment="1">
      <alignment horizontal="right"/>
    </xf>
    <xf numFmtId="2" fontId="56" fillId="0" borderId="54" xfId="0" applyNumberFormat="1" applyFont="1" applyBorder="1" applyAlignment="1">
      <alignment horizontal="right"/>
    </xf>
    <xf numFmtId="2" fontId="56" fillId="0" borderId="73" xfId="0" applyNumberFormat="1" applyFont="1" applyBorder="1" applyAlignment="1">
      <alignment horizontal="left"/>
    </xf>
    <xf numFmtId="2" fontId="56" fillId="0" borderId="54" xfId="0" applyNumberFormat="1" applyFont="1" applyBorder="1" applyAlignment="1">
      <alignment horizontal="left"/>
    </xf>
    <xf numFmtId="2" fontId="56" fillId="0" borderId="73" xfId="1" applyNumberFormat="1" applyFont="1" applyBorder="1" applyAlignment="1">
      <alignment horizontal="right"/>
    </xf>
    <xf numFmtId="2" fontId="56" fillId="0" borderId="54" xfId="1" applyNumberFormat="1" applyFont="1" applyBorder="1" applyAlignment="1">
      <alignment horizontal="right"/>
    </xf>
    <xf numFmtId="2" fontId="56" fillId="0" borderId="73" xfId="0" applyNumberFormat="1" applyFont="1" applyBorder="1" applyAlignment="1">
      <alignment horizontal="right" wrapText="1"/>
    </xf>
    <xf numFmtId="2" fontId="56" fillId="0" borderId="54" xfId="0" applyNumberFormat="1" applyFont="1" applyBorder="1" applyAlignment="1">
      <alignment horizontal="right" wrapText="1"/>
    </xf>
    <xf numFmtId="3" fontId="56" fillId="0" borderId="73" xfId="0" applyNumberFormat="1" applyFont="1" applyBorder="1" applyAlignment="1">
      <alignment horizontal="right"/>
    </xf>
    <xf numFmtId="3" fontId="56" fillId="0" borderId="54" xfId="0" applyNumberFormat="1" applyFont="1" applyBorder="1" applyAlignment="1">
      <alignment horizontal="right"/>
    </xf>
    <xf numFmtId="2" fontId="56" fillId="0" borderId="73" xfId="0" applyNumberFormat="1" applyFont="1" applyFill="1" applyBorder="1" applyAlignment="1">
      <alignment horizontal="right"/>
    </xf>
    <xf numFmtId="2" fontId="56" fillId="0" borderId="54" xfId="0" applyNumberFormat="1" applyFont="1" applyFill="1" applyBorder="1" applyAlignment="1">
      <alignment horizontal="right"/>
    </xf>
    <xf numFmtId="2" fontId="56" fillId="0" borderId="66" xfId="1" applyNumberFormat="1" applyFont="1" applyBorder="1" applyAlignment="1">
      <alignment horizontal="right"/>
    </xf>
    <xf numFmtId="0" fontId="56" fillId="0" borderId="54" xfId="0" applyFont="1" applyBorder="1" applyAlignment="1">
      <alignment horizontal="center" vertical="center"/>
    </xf>
    <xf numFmtId="0" fontId="56" fillId="0" borderId="66" xfId="0" applyFont="1" applyBorder="1" applyAlignment="1">
      <alignment horizontal="center" vertical="center"/>
    </xf>
    <xf numFmtId="0" fontId="47" fillId="0" borderId="54" xfId="0" applyFont="1" applyBorder="1" applyAlignment="1">
      <alignment horizontal="left"/>
    </xf>
    <xf numFmtId="0" fontId="47" fillId="0" borderId="73" xfId="0" applyFont="1" applyBorder="1" applyAlignment="1">
      <alignment horizontal="left"/>
    </xf>
    <xf numFmtId="0" fontId="47" fillId="0" borderId="66" xfId="0" applyFont="1" applyBorder="1" applyAlignment="1">
      <alignment horizontal="left"/>
    </xf>
    <xf numFmtId="0" fontId="47" fillId="0" borderId="52" xfId="0" applyFont="1" applyBorder="1" applyAlignment="1">
      <alignment horizontal="left"/>
    </xf>
    <xf numFmtId="0" fontId="47" fillId="0" borderId="66" xfId="0" applyFont="1" applyBorder="1"/>
    <xf numFmtId="0" fontId="47" fillId="0" borderId="52" xfId="0" applyFont="1" applyBorder="1"/>
    <xf numFmtId="0" fontId="28" fillId="0" borderId="7" xfId="0" applyFont="1" applyBorder="1" applyAlignment="1">
      <alignment horizontal="left"/>
    </xf>
    <xf numFmtId="3" fontId="47" fillId="0" borderId="16" xfId="0" applyNumberFormat="1" applyFont="1" applyBorder="1" applyAlignment="1">
      <alignment horizontal="left"/>
    </xf>
    <xf numFmtId="0" fontId="28" fillId="0" borderId="16" xfId="0" applyFont="1" applyBorder="1" applyAlignment="1">
      <alignment horizontal="left"/>
    </xf>
    <xf numFmtId="0" fontId="26" fillId="0" borderId="16" xfId="0" applyFont="1" applyBorder="1" applyAlignment="1">
      <alignment horizontal="left"/>
    </xf>
    <xf numFmtId="3" fontId="47" fillId="0" borderId="54" xfId="0" applyNumberFormat="1" applyFont="1" applyBorder="1" applyAlignment="1">
      <alignment horizontal="left"/>
    </xf>
    <xf numFmtId="3" fontId="47" fillId="0" borderId="55" xfId="0" applyNumberFormat="1" applyFont="1" applyBorder="1" applyAlignment="1">
      <alignment horizontal="left"/>
    </xf>
    <xf numFmtId="0" fontId="56" fillId="0" borderId="30" xfId="0" applyFont="1" applyBorder="1" applyAlignment="1">
      <alignment horizontal="left"/>
    </xf>
    <xf numFmtId="0" fontId="56" fillId="0" borderId="1" xfId="0" applyFont="1" applyBorder="1" applyAlignment="1">
      <alignment horizontal="left"/>
    </xf>
    <xf numFmtId="3" fontId="56" fillId="0" borderId="3" xfId="0" applyNumberFormat="1" applyFont="1" applyBorder="1" applyAlignment="1">
      <alignment horizontal="left"/>
    </xf>
    <xf numFmtId="3" fontId="56" fillId="0" borderId="4" xfId="0" applyNumberFormat="1" applyFont="1" applyBorder="1" applyAlignment="1">
      <alignment horizontal="left"/>
    </xf>
    <xf numFmtId="0" fontId="56" fillId="0" borderId="3" xfId="0" applyFont="1" applyBorder="1" applyAlignment="1">
      <alignment horizontal="left"/>
    </xf>
    <xf numFmtId="0" fontId="56" fillId="0" borderId="5" xfId="0" applyFont="1" applyBorder="1" applyAlignment="1">
      <alignment horizontal="left"/>
    </xf>
    <xf numFmtId="3" fontId="56" fillId="0" borderId="9" xfId="0" applyNumberFormat="1" applyFont="1" applyBorder="1" applyAlignment="1">
      <alignment horizontal="left"/>
    </xf>
    <xf numFmtId="3" fontId="56" fillId="0" borderId="8" xfId="0" applyNumberFormat="1" applyFont="1" applyBorder="1" applyAlignment="1">
      <alignment horizontal="left"/>
    </xf>
    <xf numFmtId="2" fontId="19" fillId="0" borderId="19" xfId="0" applyNumberFormat="1" applyFont="1" applyBorder="1" applyAlignment="1">
      <alignment horizontal="left" vertical="center"/>
    </xf>
    <xf numFmtId="2" fontId="19" fillId="0" borderId="18" xfId="0" applyNumberFormat="1" applyFont="1" applyBorder="1" applyAlignment="1">
      <alignment horizontal="left" vertical="center"/>
    </xf>
    <xf numFmtId="2" fontId="19" fillId="0" borderId="19" xfId="0" applyNumberFormat="1" applyFont="1" applyBorder="1" applyAlignment="1">
      <alignment horizontal="left"/>
    </xf>
    <xf numFmtId="2" fontId="19" fillId="0" borderId="22" xfId="0" applyNumberFormat="1" applyFont="1" applyBorder="1" applyAlignment="1">
      <alignment horizontal="left"/>
    </xf>
    <xf numFmtId="2" fontId="19" fillId="0" borderId="21" xfId="0" applyNumberFormat="1" applyFont="1" applyBorder="1" applyAlignment="1">
      <alignment horizontal="left"/>
    </xf>
    <xf numFmtId="2" fontId="19" fillId="0" borderId="18" xfId="0" applyNumberFormat="1" applyFont="1" applyBorder="1" applyAlignment="1">
      <alignment horizontal="left"/>
    </xf>
    <xf numFmtId="2" fontId="19" fillId="0" borderId="19" xfId="2" applyNumberFormat="1" applyFont="1" applyBorder="1" applyAlignment="1">
      <alignment horizontal="left"/>
    </xf>
    <xf numFmtId="2" fontId="19" fillId="0" borderId="18" xfId="2" applyNumberFormat="1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2" fontId="1" fillId="0" borderId="19" xfId="0" applyNumberFormat="1" applyFont="1" applyBorder="1" applyAlignment="1">
      <alignment horizontal="left"/>
    </xf>
    <xf numFmtId="2" fontId="1" fillId="0" borderId="22" xfId="0" applyNumberFormat="1" applyFont="1" applyBorder="1" applyAlignment="1">
      <alignment horizontal="left"/>
    </xf>
    <xf numFmtId="165" fontId="27" fillId="0" borderId="21" xfId="0" applyNumberFormat="1" applyFont="1" applyBorder="1" applyAlignment="1">
      <alignment horizontal="left"/>
    </xf>
    <xf numFmtId="165" fontId="27" fillId="0" borderId="18" xfId="0" applyNumberFormat="1" applyFont="1" applyBorder="1" applyAlignment="1">
      <alignment horizontal="left"/>
    </xf>
    <xf numFmtId="2" fontId="19" fillId="0" borderId="20" xfId="0" applyNumberFormat="1" applyFont="1" applyFill="1" applyBorder="1" applyAlignment="1">
      <alignment horizontal="left"/>
    </xf>
    <xf numFmtId="2" fontId="19" fillId="0" borderId="18" xfId="0" applyNumberFormat="1" applyFont="1" applyFill="1" applyBorder="1" applyAlignment="1">
      <alignment horizontal="left"/>
    </xf>
    <xf numFmtId="2" fontId="19" fillId="0" borderId="19" xfId="1" applyNumberFormat="1" applyFont="1" applyBorder="1" applyAlignment="1">
      <alignment horizontal="left"/>
    </xf>
    <xf numFmtId="2" fontId="19" fillId="0" borderId="18" xfId="1" applyNumberFormat="1" applyFont="1" applyBorder="1" applyAlignment="1">
      <alignment horizontal="left"/>
    </xf>
    <xf numFmtId="2" fontId="19" fillId="0" borderId="74" xfId="0" applyNumberFormat="1" applyFont="1" applyBorder="1" applyAlignment="1">
      <alignment horizontal="left" vertical="center"/>
    </xf>
    <xf numFmtId="2" fontId="19" fillId="0" borderId="13" xfId="0" applyNumberFormat="1" applyFont="1" applyBorder="1" applyAlignment="1">
      <alignment horizontal="left" vertical="center"/>
    </xf>
    <xf numFmtId="2" fontId="19" fillId="0" borderId="21" xfId="0" applyNumberFormat="1" applyFont="1" applyBorder="1" applyAlignment="1">
      <alignment horizontal="left" vertical="center"/>
    </xf>
    <xf numFmtId="2" fontId="33" fillId="0" borderId="65" xfId="0" applyNumberFormat="1" applyFont="1" applyBorder="1" applyAlignment="1">
      <alignment horizontal="left" vertical="center"/>
    </xf>
    <xf numFmtId="2" fontId="33" fillId="0" borderId="73" xfId="0" applyNumberFormat="1" applyFont="1" applyBorder="1" applyAlignment="1">
      <alignment horizontal="left" vertical="center"/>
    </xf>
    <xf numFmtId="2" fontId="33" fillId="0" borderId="66" xfId="0" applyNumberFormat="1" applyFont="1" applyBorder="1" applyAlignment="1">
      <alignment horizontal="left" vertical="center"/>
    </xf>
    <xf numFmtId="2" fontId="33" fillId="0" borderId="51" xfId="0" applyNumberFormat="1" applyFont="1" applyBorder="1" applyAlignment="1">
      <alignment horizontal="left" vertical="center"/>
    </xf>
    <xf numFmtId="2" fontId="33" fillId="0" borderId="54" xfId="1" applyNumberFormat="1" applyFont="1" applyBorder="1" applyAlignment="1">
      <alignment horizontal="left"/>
    </xf>
    <xf numFmtId="2" fontId="33" fillId="0" borderId="58" xfId="1" applyNumberFormat="1" applyFont="1" applyBorder="1" applyAlignment="1">
      <alignment horizontal="left"/>
    </xf>
    <xf numFmtId="2" fontId="30" fillId="0" borderId="67" xfId="0" applyNumberFormat="1" applyFont="1" applyBorder="1" applyAlignment="1">
      <alignment horizontal="left" vertical="center"/>
    </xf>
    <xf numFmtId="2" fontId="30" fillId="0" borderId="49" xfId="0" applyNumberFormat="1" applyFont="1" applyBorder="1" applyAlignment="1">
      <alignment horizontal="left" vertical="center"/>
    </xf>
    <xf numFmtId="2" fontId="19" fillId="0" borderId="67" xfId="0" applyNumberFormat="1" applyFont="1" applyBorder="1" applyAlignment="1">
      <alignment horizontal="left"/>
    </xf>
    <xf numFmtId="2" fontId="19" fillId="0" borderId="72" xfId="0" applyNumberFormat="1" applyFont="1" applyBorder="1" applyAlignment="1">
      <alignment horizontal="left"/>
    </xf>
    <xf numFmtId="2" fontId="19" fillId="0" borderId="74" xfId="0" applyNumberFormat="1" applyFont="1" applyBorder="1" applyAlignment="1">
      <alignment horizontal="left"/>
    </xf>
    <xf numFmtId="2" fontId="19" fillId="0" borderId="49" xfId="0" applyNumberFormat="1" applyFont="1" applyBorder="1" applyAlignment="1">
      <alignment horizontal="left"/>
    </xf>
    <xf numFmtId="2" fontId="30" fillId="0" borderId="67" xfId="0" applyNumberFormat="1" applyFont="1" applyBorder="1" applyAlignment="1">
      <alignment horizontal="left"/>
    </xf>
    <xf numFmtId="2" fontId="30" fillId="0" borderId="49" xfId="0" applyNumberFormat="1" applyFont="1" applyBorder="1" applyAlignment="1">
      <alignment horizontal="left"/>
    </xf>
    <xf numFmtId="2" fontId="30" fillId="0" borderId="72" xfId="0" applyNumberFormat="1" applyFont="1" applyBorder="1" applyAlignment="1">
      <alignment horizontal="left"/>
    </xf>
    <xf numFmtId="2" fontId="30" fillId="0" borderId="74" xfId="0" applyNumberFormat="1" applyFont="1" applyBorder="1" applyAlignment="1">
      <alignment horizontal="left"/>
    </xf>
    <xf numFmtId="0" fontId="19" fillId="0" borderId="67" xfId="0" applyFont="1" applyBorder="1" applyAlignment="1">
      <alignment horizontal="left"/>
    </xf>
    <xf numFmtId="0" fontId="19" fillId="0" borderId="49" xfId="0" applyFont="1" applyBorder="1" applyAlignment="1">
      <alignment horizontal="left"/>
    </xf>
    <xf numFmtId="0" fontId="27" fillId="0" borderId="74" xfId="0" applyFont="1" applyBorder="1" applyAlignment="1">
      <alignment horizontal="left"/>
    </xf>
    <xf numFmtId="0" fontId="27" fillId="0" borderId="49" xfId="0" applyFont="1" applyBorder="1" applyAlignment="1">
      <alignment horizontal="left"/>
    </xf>
    <xf numFmtId="2" fontId="19" fillId="0" borderId="48" xfId="0" applyNumberFormat="1" applyFont="1" applyFill="1" applyBorder="1" applyAlignment="1">
      <alignment horizontal="left"/>
    </xf>
    <xf numFmtId="2" fontId="19" fillId="0" borderId="49" xfId="0" applyNumberFormat="1" applyFont="1" applyFill="1" applyBorder="1" applyAlignment="1">
      <alignment horizontal="left"/>
    </xf>
    <xf numFmtId="2" fontId="19" fillId="0" borderId="67" xfId="1" applyNumberFormat="1" applyFont="1" applyBorder="1" applyAlignment="1">
      <alignment horizontal="left"/>
    </xf>
    <xf numFmtId="2" fontId="19" fillId="0" borderId="49" xfId="1" applyNumberFormat="1" applyFont="1" applyBorder="1" applyAlignment="1">
      <alignment horizontal="left"/>
    </xf>
    <xf numFmtId="2" fontId="19" fillId="0" borderId="72" xfId="1" applyNumberFormat="1" applyFont="1" applyBorder="1" applyAlignment="1">
      <alignment horizontal="left"/>
    </xf>
    <xf numFmtId="2" fontId="19" fillId="0" borderId="49" xfId="0" applyNumberFormat="1" applyFont="1" applyBorder="1" applyAlignment="1">
      <alignment horizontal="left" vertical="center"/>
    </xf>
    <xf numFmtId="2" fontId="24" fillId="0" borderId="28" xfId="0" applyNumberFormat="1" applyFont="1" applyBorder="1" applyAlignment="1">
      <alignment horizontal="left"/>
    </xf>
    <xf numFmtId="2" fontId="24" fillId="0" borderId="21" xfId="0" applyNumberFormat="1" applyFont="1" applyBorder="1" applyAlignment="1">
      <alignment horizontal="left"/>
    </xf>
    <xf numFmtId="2" fontId="35" fillId="0" borderId="37" xfId="0" applyNumberFormat="1" applyFont="1" applyBorder="1" applyAlignment="1">
      <alignment horizontal="left"/>
    </xf>
    <xf numFmtId="2" fontId="24" fillId="0" borderId="37" xfId="0" applyNumberFormat="1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1" fontId="18" fillId="0" borderId="74" xfId="0" applyNumberFormat="1" applyFont="1" applyBorder="1" applyAlignment="1">
      <alignment horizontal="left" vertical="center"/>
    </xf>
    <xf numFmtId="1" fontId="18" fillId="0" borderId="17" xfId="0" applyNumberFormat="1" applyFont="1" applyBorder="1" applyAlignment="1">
      <alignment horizontal="left" vertical="center"/>
    </xf>
    <xf numFmtId="1" fontId="18" fillId="0" borderId="48" xfId="0" applyNumberFormat="1" applyFont="1" applyBorder="1" applyAlignment="1">
      <alignment horizontal="left"/>
    </xf>
    <xf numFmtId="1" fontId="18" fillId="0" borderId="48" xfId="1" applyNumberFormat="1" applyFont="1" applyBorder="1" applyAlignment="1">
      <alignment horizontal="left"/>
    </xf>
    <xf numFmtId="1" fontId="18" fillId="0" borderId="17" xfId="1" applyNumberFormat="1" applyFont="1" applyBorder="1" applyAlignment="1">
      <alignment horizontal="left"/>
    </xf>
    <xf numFmtId="2" fontId="25" fillId="0" borderId="28" xfId="0" applyNumberFormat="1" applyFont="1" applyBorder="1" applyAlignment="1">
      <alignment horizontal="left"/>
    </xf>
    <xf numFmtId="2" fontId="25" fillId="0" borderId="8" xfId="0" applyNumberFormat="1" applyFont="1" applyBorder="1" applyAlignment="1">
      <alignment horizontal="left"/>
    </xf>
    <xf numFmtId="2" fontId="25" fillId="0" borderId="1" xfId="0" applyNumberFormat="1" applyFont="1" applyBorder="1" applyAlignment="1">
      <alignment horizontal="left"/>
    </xf>
    <xf numFmtId="2" fontId="25" fillId="0" borderId="3" xfId="0" applyNumberFormat="1" applyFont="1" applyBorder="1" applyAlignment="1">
      <alignment horizontal="left"/>
    </xf>
    <xf numFmtId="2" fontId="25" fillId="0" borderId="21" xfId="0" applyNumberFormat="1" applyFont="1" applyBorder="1" applyAlignment="1">
      <alignment horizontal="left"/>
    </xf>
    <xf numFmtId="2" fontId="25" fillId="0" borderId="18" xfId="0" applyNumberFormat="1" applyFont="1" applyBorder="1" applyAlignment="1">
      <alignment horizontal="left"/>
    </xf>
    <xf numFmtId="1" fontId="19" fillId="0" borderId="14" xfId="0" applyNumberFormat="1" applyFont="1" applyBorder="1" applyAlignment="1">
      <alignment horizontal="left" vertical="center"/>
    </xf>
    <xf numFmtId="0" fontId="57" fillId="0" borderId="15" xfId="0" applyFont="1" applyBorder="1" applyAlignment="1">
      <alignment horizontal="left"/>
    </xf>
    <xf numFmtId="0" fontId="59" fillId="0" borderId="1" xfId="0" applyFont="1" applyBorder="1" applyAlignment="1">
      <alignment horizontal="left"/>
    </xf>
    <xf numFmtId="0" fontId="59" fillId="0" borderId="3" xfId="0" applyFont="1" applyBorder="1" applyAlignment="1">
      <alignment horizontal="left"/>
    </xf>
    <xf numFmtId="0" fontId="59" fillId="0" borderId="15" xfId="0" applyFont="1" applyBorder="1" applyAlignment="1">
      <alignment horizontal="left"/>
    </xf>
    <xf numFmtId="0" fontId="59" fillId="0" borderId="14" xfId="0" applyFont="1" applyBorder="1" applyAlignment="1">
      <alignment horizontal="left"/>
    </xf>
    <xf numFmtId="0" fontId="60" fillId="0" borderId="0" xfId="0" applyFont="1"/>
    <xf numFmtId="0" fontId="47" fillId="0" borderId="16" xfId="0" applyFont="1" applyBorder="1" applyAlignment="1">
      <alignment horizontal="left"/>
    </xf>
    <xf numFmtId="1" fontId="47" fillId="0" borderId="3" xfId="0" applyNumberFormat="1" applyFont="1" applyBorder="1" applyAlignment="1">
      <alignment horizontal="left"/>
    </xf>
    <xf numFmtId="3" fontId="47" fillId="0" borderId="3" xfId="0" applyNumberFormat="1" applyFont="1" applyBorder="1" applyAlignment="1">
      <alignment horizontal="left"/>
    </xf>
    <xf numFmtId="3" fontId="47" fillId="0" borderId="4" xfId="0" applyNumberFormat="1" applyFont="1" applyBorder="1" applyAlignment="1">
      <alignment horizontal="left"/>
    </xf>
    <xf numFmtId="3" fontId="48" fillId="0" borderId="9" xfId="0" applyNumberFormat="1" applyFont="1" applyBorder="1" applyAlignment="1">
      <alignment horizontal="left"/>
    </xf>
    <xf numFmtId="3" fontId="48" fillId="0" borderId="8" xfId="0" applyNumberFormat="1" applyFont="1" applyBorder="1" applyAlignment="1">
      <alignment horizontal="left"/>
    </xf>
    <xf numFmtId="3" fontId="48" fillId="0" borderId="4" xfId="0" applyNumberFormat="1" applyFont="1" applyBorder="1" applyAlignment="1">
      <alignment horizontal="left"/>
    </xf>
    <xf numFmtId="0" fontId="48" fillId="0" borderId="1" xfId="0" applyFont="1" applyBorder="1" applyAlignment="1">
      <alignment horizontal="left"/>
    </xf>
    <xf numFmtId="3" fontId="48" fillId="0" borderId="3" xfId="0" applyNumberFormat="1" applyFont="1" applyBorder="1" applyAlignment="1">
      <alignment horizontal="left"/>
    </xf>
    <xf numFmtId="0" fontId="61" fillId="0" borderId="56" xfId="0" applyFont="1" applyBorder="1" applyAlignment="1">
      <alignment horizontal="left"/>
    </xf>
    <xf numFmtId="0" fontId="62" fillId="0" borderId="56" xfId="0" applyFont="1" applyBorder="1"/>
    <xf numFmtId="0" fontId="45" fillId="0" borderId="56" xfId="0" applyFont="1" applyBorder="1"/>
    <xf numFmtId="2" fontId="47" fillId="0" borderId="3" xfId="0" applyNumberFormat="1" applyFont="1" applyBorder="1" applyAlignment="1">
      <alignment horizontal="left"/>
    </xf>
    <xf numFmtId="1" fontId="47" fillId="0" borderId="4" xfId="0" applyNumberFormat="1" applyFont="1" applyBorder="1" applyAlignment="1">
      <alignment horizontal="left"/>
    </xf>
    <xf numFmtId="2" fontId="47" fillId="0" borderId="1" xfId="0" applyNumberFormat="1" applyFont="1" applyBorder="1" applyAlignment="1">
      <alignment horizontal="left" vertical="center"/>
    </xf>
    <xf numFmtId="2" fontId="47" fillId="0" borderId="3" xfId="0" applyNumberFormat="1" applyFont="1" applyBorder="1" applyAlignment="1">
      <alignment horizontal="left" vertical="center"/>
    </xf>
    <xf numFmtId="2" fontId="47" fillId="0" borderId="2" xfId="0" applyNumberFormat="1" applyFont="1" applyBorder="1" applyAlignment="1">
      <alignment horizontal="left"/>
    </xf>
    <xf numFmtId="1" fontId="47" fillId="0" borderId="2" xfId="0" applyNumberFormat="1" applyFont="1" applyBorder="1" applyAlignment="1">
      <alignment horizontal="left"/>
    </xf>
    <xf numFmtId="2" fontId="47" fillId="0" borderId="4" xfId="0" applyNumberFormat="1" applyFont="1" applyBorder="1" applyAlignment="1">
      <alignment horizontal="left"/>
    </xf>
    <xf numFmtId="2" fontId="47" fillId="0" borderId="5" xfId="0" applyNumberFormat="1" applyFont="1" applyBorder="1" applyAlignment="1">
      <alignment horizontal="left"/>
    </xf>
    <xf numFmtId="1" fontId="47" fillId="0" borderId="4" xfId="0" applyNumberFormat="1" applyFont="1" applyFill="1" applyBorder="1" applyAlignment="1">
      <alignment horizontal="left"/>
    </xf>
    <xf numFmtId="1" fontId="47" fillId="0" borderId="3" xfId="0" applyNumberFormat="1" applyFont="1" applyFill="1" applyBorder="1" applyAlignment="1">
      <alignment horizontal="left"/>
    </xf>
    <xf numFmtId="1" fontId="47" fillId="0" borderId="3" xfId="1" applyNumberFormat="1" applyFont="1" applyBorder="1" applyAlignment="1">
      <alignment horizontal="left"/>
    </xf>
    <xf numFmtId="0" fontId="40" fillId="0" borderId="66" xfId="0" applyFont="1" applyBorder="1" applyAlignment="1">
      <alignment horizontal="left"/>
    </xf>
    <xf numFmtId="1" fontId="26" fillId="0" borderId="40" xfId="0" applyNumberFormat="1" applyFont="1" applyFill="1" applyBorder="1" applyAlignment="1">
      <alignment horizontal="center" vertical="justify" wrapText="1"/>
    </xf>
    <xf numFmtId="0" fontId="24" fillId="0" borderId="8" xfId="0" applyFont="1" applyBorder="1" applyAlignment="1">
      <alignment vertical="center"/>
    </xf>
    <xf numFmtId="2" fontId="23" fillId="0" borderId="3" xfId="0" applyNumberFormat="1" applyFont="1" applyBorder="1" applyAlignment="1">
      <alignment vertical="center"/>
    </xf>
    <xf numFmtId="2" fontId="24" fillId="0" borderId="3" xfId="0" applyNumberFormat="1" applyFont="1" applyBorder="1" applyAlignment="1">
      <alignment vertical="center"/>
    </xf>
    <xf numFmtId="2" fontId="23" fillId="0" borderId="18" xfId="0" applyNumberFormat="1" applyFont="1" applyBorder="1" applyAlignment="1">
      <alignment vertical="center"/>
    </xf>
    <xf numFmtId="2" fontId="56" fillId="0" borderId="66" xfId="0" applyNumberFormat="1" applyFont="1" applyBorder="1" applyAlignment="1">
      <alignment vertical="center"/>
    </xf>
    <xf numFmtId="1" fontId="26" fillId="0" borderId="30" xfId="0" applyNumberFormat="1" applyFont="1" applyBorder="1" applyAlignment="1">
      <alignment horizontal="left"/>
    </xf>
    <xf numFmtId="1" fontId="40" fillId="0" borderId="79" xfId="0" applyNumberFormat="1" applyFont="1" applyBorder="1" applyAlignment="1">
      <alignment horizontal="left"/>
    </xf>
    <xf numFmtId="0" fontId="38" fillId="0" borderId="17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26" fillId="0" borderId="71" xfId="0" applyFont="1" applyBorder="1" applyAlignment="1">
      <alignment horizontal="left" vertical="center"/>
    </xf>
    <xf numFmtId="2" fontId="26" fillId="0" borderId="30" xfId="0" applyNumberFormat="1" applyFont="1" applyBorder="1" applyAlignment="1">
      <alignment horizontal="left"/>
    </xf>
    <xf numFmtId="0" fontId="26" fillId="0" borderId="29" xfId="0" applyFont="1" applyBorder="1" applyAlignment="1">
      <alignment horizontal="left" vertical="center"/>
    </xf>
    <xf numFmtId="2" fontId="28" fillId="0" borderId="5" xfId="1" applyNumberFormat="1" applyFont="1" applyBorder="1" applyAlignment="1">
      <alignment horizontal="left"/>
    </xf>
    <xf numFmtId="1" fontId="40" fillId="0" borderId="70" xfId="1" applyNumberFormat="1" applyFont="1" applyBorder="1" applyAlignment="1">
      <alignment horizontal="left"/>
    </xf>
    <xf numFmtId="0" fontId="28" fillId="0" borderId="33" xfId="0" applyFont="1" applyBorder="1" applyAlignment="1">
      <alignment horizontal="left"/>
    </xf>
    <xf numFmtId="0" fontId="28" fillId="0" borderId="34" xfId="0" applyFont="1" applyBorder="1" applyAlignment="1">
      <alignment horizontal="left"/>
    </xf>
    <xf numFmtId="1" fontId="20" fillId="0" borderId="27" xfId="0" applyNumberFormat="1" applyFont="1" applyBorder="1" applyAlignment="1">
      <alignment horizontal="left"/>
    </xf>
    <xf numFmtId="0" fontId="32" fillId="0" borderId="52" xfId="0" applyFont="1" applyBorder="1" applyAlignment="1">
      <alignment horizontal="left"/>
    </xf>
    <xf numFmtId="1" fontId="18" fillId="0" borderId="20" xfId="0" applyNumberFormat="1" applyFont="1" applyBorder="1" applyAlignment="1">
      <alignment horizontal="left"/>
    </xf>
    <xf numFmtId="1" fontId="18" fillId="0" borderId="28" xfId="0" applyNumberFormat="1" applyFont="1" applyBorder="1" applyAlignment="1">
      <alignment horizontal="left"/>
    </xf>
    <xf numFmtId="1" fontId="18" fillId="0" borderId="21" xfId="0" applyNumberFormat="1" applyFont="1" applyBorder="1" applyAlignment="1">
      <alignment horizontal="left"/>
    </xf>
    <xf numFmtId="1" fontId="18" fillId="0" borderId="77" xfId="0" applyNumberFormat="1" applyFont="1" applyBorder="1" applyAlignment="1">
      <alignment horizontal="left"/>
    </xf>
    <xf numFmtId="1" fontId="18" fillId="0" borderId="25" xfId="0" applyNumberFormat="1" applyFont="1" applyBorder="1" applyAlignment="1">
      <alignment horizontal="left"/>
    </xf>
    <xf numFmtId="1" fontId="18" fillId="0" borderId="26" xfId="0" applyNumberFormat="1" applyFont="1" applyBorder="1" applyAlignment="1">
      <alignment horizontal="left"/>
    </xf>
    <xf numFmtId="1" fontId="18" fillId="0" borderId="24" xfId="0" applyNumberFormat="1" applyFont="1" applyBorder="1" applyAlignment="1">
      <alignment horizontal="left"/>
    </xf>
    <xf numFmtId="1" fontId="18" fillId="0" borderId="9" xfId="2" applyNumberFormat="1" applyFont="1" applyBorder="1" applyAlignment="1">
      <alignment horizontal="left"/>
    </xf>
    <xf numFmtId="1" fontId="18" fillId="0" borderId="4" xfId="2" applyNumberFormat="1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" fontId="23" fillId="0" borderId="26" xfId="0" applyNumberFormat="1" applyFont="1" applyBorder="1" applyAlignment="1">
      <alignment horizontal="left"/>
    </xf>
    <xf numFmtId="2" fontId="18" fillId="0" borderId="77" xfId="0" applyNumberFormat="1" applyFont="1" applyBorder="1" applyAlignment="1">
      <alignment horizontal="left"/>
    </xf>
    <xf numFmtId="2" fontId="18" fillId="0" borderId="35" xfId="0" applyNumberFormat="1" applyFont="1" applyBorder="1" applyAlignment="1">
      <alignment horizontal="left"/>
    </xf>
    <xf numFmtId="3" fontId="20" fillId="0" borderId="78" xfId="0" applyNumberFormat="1" applyFont="1" applyBorder="1" applyAlignment="1">
      <alignment horizontal="left"/>
    </xf>
    <xf numFmtId="3" fontId="20" fillId="0" borderId="35" xfId="0" applyNumberFormat="1" applyFont="1" applyBorder="1" applyAlignment="1">
      <alignment horizontal="left"/>
    </xf>
    <xf numFmtId="1" fontId="18" fillId="0" borderId="9" xfId="1" applyNumberFormat="1" applyFont="1" applyBorder="1" applyAlignment="1">
      <alignment horizontal="left"/>
    </xf>
    <xf numFmtId="1" fontId="18" fillId="0" borderId="4" xfId="1" applyNumberFormat="1" applyFont="1" applyBorder="1" applyAlignment="1">
      <alignment horizontal="left"/>
    </xf>
    <xf numFmtId="1" fontId="18" fillId="0" borderId="20" xfId="1" applyNumberFormat="1" applyFont="1" applyBorder="1" applyAlignment="1">
      <alignment horizontal="left"/>
    </xf>
    <xf numFmtId="1" fontId="18" fillId="0" borderId="26" xfId="0" applyNumberFormat="1" applyFont="1" applyFill="1" applyBorder="1" applyAlignment="1">
      <alignment horizontal="left"/>
    </xf>
    <xf numFmtId="1" fontId="18" fillId="0" borderId="25" xfId="0" applyNumberFormat="1" applyFont="1" applyFill="1" applyBorder="1" applyAlignment="1">
      <alignment horizontal="left"/>
    </xf>
    <xf numFmtId="1" fontId="18" fillId="0" borderId="26" xfId="1" applyNumberFormat="1" applyFont="1" applyBorder="1" applyAlignment="1">
      <alignment horizontal="left"/>
    </xf>
    <xf numFmtId="1" fontId="18" fillId="0" borderId="29" xfId="1" applyNumberFormat="1" applyFont="1" applyBorder="1" applyAlignment="1">
      <alignment horizontal="left"/>
    </xf>
    <xf numFmtId="1" fontId="18" fillId="0" borderId="5" xfId="1" applyNumberFormat="1" applyFont="1" applyBorder="1" applyAlignment="1">
      <alignment horizontal="left"/>
    </xf>
    <xf numFmtId="1" fontId="18" fillId="0" borderId="22" xfId="1" applyNumberFormat="1" applyFont="1" applyBorder="1" applyAlignment="1">
      <alignment horizontal="left"/>
    </xf>
    <xf numFmtId="1" fontId="18" fillId="0" borderId="24" xfId="1" applyNumberFormat="1" applyFont="1" applyBorder="1" applyAlignment="1">
      <alignment horizontal="left"/>
    </xf>
    <xf numFmtId="0" fontId="32" fillId="0" borderId="41" xfId="0" applyFont="1" applyBorder="1" applyAlignment="1">
      <alignment horizontal="left"/>
    </xf>
    <xf numFmtId="0" fontId="32" fillId="0" borderId="40" xfId="0" applyFont="1" applyBorder="1" applyAlignment="1">
      <alignment horizontal="left"/>
    </xf>
    <xf numFmtId="1" fontId="33" fillId="0" borderId="77" xfId="0" applyNumberFormat="1" applyFont="1" applyBorder="1" applyAlignment="1">
      <alignment horizontal="left" vertical="center"/>
    </xf>
    <xf numFmtId="1" fontId="33" fillId="0" borderId="76" xfId="0" applyNumberFormat="1" applyFont="1" applyBorder="1" applyAlignment="1">
      <alignment horizontal="left" vertical="center"/>
    </xf>
    <xf numFmtId="1" fontId="18" fillId="0" borderId="33" xfId="0" applyNumberFormat="1" applyFont="1" applyBorder="1" applyAlignment="1">
      <alignment horizontal="left"/>
    </xf>
    <xf numFmtId="1" fontId="18" fillId="0" borderId="34" xfId="0" applyNumberFormat="1" applyFont="1" applyBorder="1" applyAlignment="1">
      <alignment horizontal="left"/>
    </xf>
    <xf numFmtId="1" fontId="18" fillId="0" borderId="62" xfId="0" applyNumberFormat="1" applyFont="1" applyBorder="1" applyAlignment="1">
      <alignment horizontal="left"/>
    </xf>
    <xf numFmtId="0" fontId="24" fillId="0" borderId="6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5" fillId="0" borderId="71" xfId="0" applyFont="1" applyBorder="1" applyAlignment="1">
      <alignment horizontal="left"/>
    </xf>
    <xf numFmtId="0" fontId="32" fillId="0" borderId="68" xfId="0" applyFont="1" applyBorder="1" applyAlignment="1">
      <alignment horizontal="left"/>
    </xf>
    <xf numFmtId="2" fontId="18" fillId="0" borderId="28" xfId="0" applyNumberFormat="1" applyFont="1" applyBorder="1" applyAlignment="1">
      <alignment horizontal="left" vertical="center"/>
    </xf>
    <xf numFmtId="2" fontId="18" fillId="0" borderId="8" xfId="0" applyNumberFormat="1" applyFont="1" applyBorder="1" applyAlignment="1">
      <alignment horizontal="left" vertical="center"/>
    </xf>
    <xf numFmtId="2" fontId="18" fillId="0" borderId="21" xfId="0" applyNumberFormat="1" applyFont="1" applyBorder="1" applyAlignment="1">
      <alignment horizontal="left" vertical="center"/>
    </xf>
    <xf numFmtId="2" fontId="18" fillId="0" borderId="18" xfId="0" applyNumberFormat="1" applyFont="1" applyBorder="1" applyAlignment="1">
      <alignment horizontal="left" vertical="center"/>
    </xf>
    <xf numFmtId="1" fontId="19" fillId="0" borderId="1" xfId="0" applyNumberFormat="1" applyFont="1" applyBorder="1" applyAlignment="1">
      <alignment horizontal="left"/>
    </xf>
    <xf numFmtId="1" fontId="19" fillId="0" borderId="21" xfId="0" applyNumberFormat="1" applyFont="1" applyBorder="1" applyAlignment="1">
      <alignment horizontal="left"/>
    </xf>
    <xf numFmtId="1" fontId="18" fillId="0" borderId="74" xfId="0" applyNumberFormat="1" applyFont="1" applyBorder="1" applyAlignment="1">
      <alignment horizontal="left"/>
    </xf>
    <xf numFmtId="0" fontId="64" fillId="0" borderId="0" xfId="0" applyFont="1"/>
    <xf numFmtId="0" fontId="28" fillId="0" borderId="51" xfId="0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28" fillId="0" borderId="76" xfId="0" applyFont="1" applyBorder="1" applyAlignment="1">
      <alignment vertical="center" wrapText="1"/>
    </xf>
    <xf numFmtId="0" fontId="65" fillId="0" borderId="0" xfId="0" applyFont="1"/>
    <xf numFmtId="0" fontId="18" fillId="0" borderId="51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2" fontId="18" fillId="0" borderId="55" xfId="0" applyNumberFormat="1" applyFont="1" applyBorder="1" applyAlignment="1">
      <alignment horizontal="center" wrapText="1"/>
    </xf>
    <xf numFmtId="2" fontId="18" fillId="0" borderId="53" xfId="0" applyNumberFormat="1" applyFont="1" applyBorder="1" applyAlignment="1">
      <alignment horizontal="center" wrapText="1"/>
    </xf>
    <xf numFmtId="2" fontId="18" fillId="0" borderId="54" xfId="0" applyNumberFormat="1" applyFont="1" applyBorder="1"/>
    <xf numFmtId="2" fontId="18" fillId="0" borderId="65" xfId="0" applyNumberFormat="1" applyFont="1" applyBorder="1"/>
    <xf numFmtId="2" fontId="18" fillId="0" borderId="66" xfId="0" applyNumberFormat="1" applyFont="1" applyBorder="1"/>
    <xf numFmtId="2" fontId="18" fillId="0" borderId="17" xfId="0" applyNumberFormat="1" applyFont="1" applyBorder="1" applyAlignment="1">
      <alignment wrapText="1"/>
    </xf>
    <xf numFmtId="2" fontId="18" fillId="0" borderId="17" xfId="0" applyNumberFormat="1" applyFont="1" applyBorder="1" applyAlignment="1">
      <alignment horizontal="center" wrapText="1"/>
    </xf>
    <xf numFmtId="2" fontId="18" fillId="0" borderId="74" xfId="0" applyNumberFormat="1" applyFont="1" applyBorder="1"/>
    <xf numFmtId="2" fontId="18" fillId="0" borderId="67" xfId="0" applyNumberFormat="1" applyFont="1" applyBorder="1"/>
    <xf numFmtId="2" fontId="18" fillId="0" borderId="49" xfId="0" applyNumberFormat="1" applyFont="1" applyBorder="1"/>
    <xf numFmtId="2" fontId="66" fillId="0" borderId="55" xfId="0" applyNumberFormat="1" applyFont="1" applyBorder="1" applyAlignment="1">
      <alignment horizontal="center" wrapText="1"/>
    </xf>
    <xf numFmtId="2" fontId="66" fillId="0" borderId="53" xfId="0" applyNumberFormat="1" applyFont="1" applyBorder="1" applyAlignment="1">
      <alignment horizontal="center" wrapText="1"/>
    </xf>
    <xf numFmtId="2" fontId="18" fillId="0" borderId="25" xfId="0" applyNumberFormat="1" applyFont="1" applyBorder="1" applyAlignment="1">
      <alignment horizontal="center" wrapText="1"/>
    </xf>
    <xf numFmtId="2" fontId="18" fillId="0" borderId="24" xfId="0" applyNumberFormat="1" applyFont="1" applyBorder="1" applyAlignment="1">
      <alignment horizontal="center" wrapText="1"/>
    </xf>
    <xf numFmtId="2" fontId="18" fillId="0" borderId="77" xfId="0" applyNumberFormat="1" applyFont="1" applyBorder="1"/>
    <xf numFmtId="2" fontId="18" fillId="0" borderId="78" xfId="0" applyNumberFormat="1" applyFont="1" applyBorder="1"/>
    <xf numFmtId="2" fontId="18" fillId="0" borderId="35" xfId="0" applyNumberFormat="1" applyFont="1" applyBorder="1"/>
    <xf numFmtId="2" fontId="18" fillId="0" borderId="0" xfId="0" applyNumberFormat="1" applyFont="1" applyAlignment="1">
      <alignment horizontal="center" wrapText="1"/>
    </xf>
    <xf numFmtId="2" fontId="66" fillId="0" borderId="45" xfId="0" applyNumberFormat="1" applyFont="1" applyBorder="1" applyAlignment="1">
      <alignment horizontal="center" wrapText="1"/>
    </xf>
    <xf numFmtId="2" fontId="66" fillId="0" borderId="44" xfId="0" applyNumberFormat="1" applyFont="1" applyBorder="1" applyAlignment="1">
      <alignment horizontal="center" wrapText="1"/>
    </xf>
    <xf numFmtId="2" fontId="18" fillId="0" borderId="37" xfId="0" applyNumberFormat="1" applyFont="1" applyBorder="1"/>
    <xf numFmtId="2" fontId="18" fillId="0" borderId="38" xfId="0" applyNumberFormat="1" applyFont="1" applyBorder="1"/>
    <xf numFmtId="2" fontId="18" fillId="0" borderId="40" xfId="0" applyNumberFormat="1" applyFont="1" applyBorder="1"/>
    <xf numFmtId="2" fontId="18" fillId="0" borderId="73" xfId="0" applyNumberFormat="1" applyFont="1" applyBorder="1"/>
    <xf numFmtId="2" fontId="18" fillId="0" borderId="54" xfId="0" applyNumberFormat="1" applyFont="1" applyBorder="1" applyAlignment="1">
      <alignment horizontal="center" wrapText="1"/>
    </xf>
    <xf numFmtId="2" fontId="18" fillId="0" borderId="65" xfId="0" applyNumberFormat="1" applyFont="1" applyBorder="1" applyAlignment="1">
      <alignment horizontal="center" wrapText="1"/>
    </xf>
    <xf numFmtId="2" fontId="18" fillId="0" borderId="66" xfId="0" applyNumberFormat="1" applyFont="1" applyBorder="1" applyAlignment="1">
      <alignment horizontal="center" wrapText="1"/>
    </xf>
    <xf numFmtId="0" fontId="55" fillId="0" borderId="1" xfId="0" applyFont="1" applyBorder="1" applyAlignment="1">
      <alignment horizontal="left"/>
    </xf>
    <xf numFmtId="0" fontId="55" fillId="0" borderId="5" xfId="0" applyFont="1" applyBorder="1" applyAlignment="1">
      <alignment horizontal="left"/>
    </xf>
    <xf numFmtId="0" fontId="68" fillId="0" borderId="56" xfId="0" applyFont="1" applyBorder="1" applyAlignment="1">
      <alignment horizontal="center"/>
    </xf>
    <xf numFmtId="2" fontId="1" fillId="0" borderId="5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0" xfId="0" applyFont="1" applyBorder="1"/>
    <xf numFmtId="0" fontId="1" fillId="0" borderId="1" xfId="0" applyFont="1" applyBorder="1"/>
    <xf numFmtId="2" fontId="1" fillId="0" borderId="3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0" borderId="5" xfId="2" applyNumberFormat="1" applyFont="1" applyBorder="1" applyAlignment="1">
      <alignment horizontal="right"/>
    </xf>
    <xf numFmtId="2" fontId="1" fillId="0" borderId="1" xfId="2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 wrapText="1"/>
    </xf>
    <xf numFmtId="3" fontId="1" fillId="0" borderId="5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2" fontId="1" fillId="0" borderId="5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1" fillId="0" borderId="3" xfId="1" applyNumberFormat="1" applyFont="1" applyBorder="1" applyAlignment="1">
      <alignment horizontal="right"/>
    </xf>
    <xf numFmtId="2" fontId="1" fillId="0" borderId="1" xfId="1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4" fillId="0" borderId="5" xfId="0" applyNumberFormat="1" applyFont="1" applyBorder="1" applyAlignment="1">
      <alignment horizontal="right"/>
    </xf>
    <xf numFmtId="2" fontId="1" fillId="0" borderId="5" xfId="1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0" fontId="24" fillId="0" borderId="0" xfId="0" applyFont="1" applyFill="1" applyBorder="1" applyAlignment="1">
      <alignment horizontal="left"/>
    </xf>
    <xf numFmtId="0" fontId="24" fillId="0" borderId="68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1" fontId="19" fillId="0" borderId="58" xfId="0" applyNumberFormat="1" applyFont="1" applyFill="1" applyBorder="1" applyAlignment="1">
      <alignment horizontal="center" vertical="justify" wrapText="1"/>
    </xf>
    <xf numFmtId="1" fontId="19" fillId="0" borderId="55" xfId="0" applyNumberFormat="1" applyFont="1" applyFill="1" applyBorder="1" applyAlignment="1">
      <alignment horizontal="center" vertical="justify" wrapText="1"/>
    </xf>
    <xf numFmtId="1" fontId="19" fillId="0" borderId="58" xfId="0" applyNumberFormat="1" applyFont="1" applyBorder="1" applyAlignment="1">
      <alignment horizontal="center" vertical="justify" wrapText="1"/>
    </xf>
    <xf numFmtId="1" fontId="19" fillId="0" borderId="55" xfId="0" applyNumberFormat="1" applyFont="1" applyBorder="1" applyAlignment="1">
      <alignment horizontal="center" vertical="justify" wrapText="1"/>
    </xf>
    <xf numFmtId="1" fontId="19" fillId="0" borderId="0" xfId="0" applyNumberFormat="1" applyFont="1" applyFill="1" applyBorder="1" applyAlignment="1">
      <alignment horizontal="left"/>
    </xf>
    <xf numFmtId="1" fontId="8" fillId="0" borderId="0" xfId="0" applyNumberFormat="1" applyFont="1" applyBorder="1" applyAlignment="1">
      <alignment horizontal="left"/>
    </xf>
    <xf numFmtId="1" fontId="19" fillId="0" borderId="36" xfId="0" applyNumberFormat="1" applyFont="1" applyBorder="1" applyAlignment="1">
      <alignment horizontal="left" vertical="center"/>
    </xf>
    <xf numFmtId="1" fontId="19" fillId="0" borderId="14" xfId="0" applyNumberFormat="1" applyFont="1" applyBorder="1" applyAlignment="1">
      <alignment horizontal="left" vertical="center"/>
    </xf>
    <xf numFmtId="1" fontId="19" fillId="0" borderId="58" xfId="0" applyNumberFormat="1" applyFont="1" applyBorder="1" applyAlignment="1">
      <alignment horizontal="justify" vertical="justify" wrapText="1"/>
    </xf>
    <xf numFmtId="1" fontId="19" fillId="0" borderId="55" xfId="0" applyNumberFormat="1" applyFont="1" applyBorder="1" applyAlignment="1">
      <alignment horizontal="justify" vertical="justify" wrapText="1"/>
    </xf>
    <xf numFmtId="1" fontId="19" fillId="0" borderId="58" xfId="0" applyNumberFormat="1" applyFont="1" applyBorder="1" applyAlignment="1">
      <alignment horizontal="center" vertical="center" wrapText="1"/>
    </xf>
    <xf numFmtId="1" fontId="19" fillId="0" borderId="55" xfId="0" applyNumberFormat="1" applyFont="1" applyBorder="1" applyAlignment="1">
      <alignment horizontal="center" vertical="center" wrapText="1"/>
    </xf>
    <xf numFmtId="1" fontId="19" fillId="0" borderId="53" xfId="0" applyNumberFormat="1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justify" wrapText="1"/>
    </xf>
    <xf numFmtId="0" fontId="19" fillId="0" borderId="56" xfId="0" applyFont="1" applyBorder="1" applyAlignment="1">
      <alignment horizontal="center" vertical="justify" wrapText="1"/>
    </xf>
    <xf numFmtId="0" fontId="19" fillId="0" borderId="71" xfId="0" applyFont="1" applyBorder="1" applyAlignment="1">
      <alignment horizontal="center" vertical="justify" wrapText="1"/>
    </xf>
    <xf numFmtId="0" fontId="19" fillId="0" borderId="71" xfId="0" applyFont="1" applyFill="1" applyBorder="1" applyAlignment="1">
      <alignment horizontal="center" vertical="justify" wrapText="1"/>
    </xf>
    <xf numFmtId="0" fontId="19" fillId="0" borderId="56" xfId="0" applyFont="1" applyFill="1" applyBorder="1" applyAlignment="1">
      <alignment horizontal="center" vertical="justify" wrapText="1"/>
    </xf>
    <xf numFmtId="0" fontId="45" fillId="0" borderId="0" xfId="0" applyFont="1" applyFill="1" applyBorder="1" applyAlignment="1">
      <alignment horizontal="left"/>
    </xf>
    <xf numFmtId="0" fontId="49" fillId="0" borderId="0" xfId="0" applyFont="1" applyBorder="1" applyAlignment="1">
      <alignment horizontal="left"/>
    </xf>
    <xf numFmtId="0" fontId="63" fillId="0" borderId="42" xfId="0" applyFont="1" applyBorder="1" applyAlignment="1">
      <alignment horizontal="center" vertical="center"/>
    </xf>
    <xf numFmtId="0" fontId="63" fillId="0" borderId="76" xfId="0" applyFont="1" applyBorder="1" applyAlignment="1">
      <alignment horizontal="center" vertical="center"/>
    </xf>
    <xf numFmtId="0" fontId="19" fillId="0" borderId="71" xfId="0" applyFont="1" applyFill="1" applyBorder="1" applyAlignment="1">
      <alignment horizontal="justify" vertical="justify" wrapText="1"/>
    </xf>
    <xf numFmtId="0" fontId="19" fillId="0" borderId="56" xfId="0" applyFont="1" applyFill="1" applyBorder="1" applyAlignment="1">
      <alignment horizontal="justify" vertical="justify" wrapText="1"/>
    </xf>
    <xf numFmtId="1" fontId="26" fillId="0" borderId="58" xfId="0" applyNumberFormat="1" applyFont="1" applyBorder="1" applyAlignment="1">
      <alignment horizontal="justify" vertical="justify" wrapText="1"/>
    </xf>
    <xf numFmtId="1" fontId="26" fillId="0" borderId="53" xfId="0" applyNumberFormat="1" applyFont="1" applyBorder="1" applyAlignment="1">
      <alignment horizontal="justify" vertical="justify" wrapText="1"/>
    </xf>
    <xf numFmtId="1" fontId="26" fillId="0" borderId="55" xfId="0" applyNumberFormat="1" applyFont="1" applyBorder="1" applyAlignment="1">
      <alignment horizontal="justify" vertical="justify" wrapText="1"/>
    </xf>
    <xf numFmtId="1" fontId="26" fillId="0" borderId="58" xfId="0" applyNumberFormat="1" applyFont="1" applyFill="1" applyBorder="1" applyAlignment="1">
      <alignment horizontal="justify" vertical="justify" wrapText="1"/>
    </xf>
    <xf numFmtId="1" fontId="26" fillId="0" borderId="53" xfId="0" applyNumberFormat="1" applyFont="1" applyFill="1" applyBorder="1" applyAlignment="1">
      <alignment horizontal="justify" vertical="justify" wrapText="1"/>
    </xf>
    <xf numFmtId="1" fontId="26" fillId="0" borderId="58" xfId="0" applyNumberFormat="1" applyFont="1" applyFill="1" applyBorder="1" applyAlignment="1">
      <alignment horizontal="center" vertical="justify" wrapText="1"/>
    </xf>
    <xf numFmtId="1" fontId="26" fillId="0" borderId="55" xfId="0" applyNumberFormat="1" applyFont="1" applyFill="1" applyBorder="1" applyAlignment="1">
      <alignment horizontal="center" vertical="justify" wrapText="1"/>
    </xf>
    <xf numFmtId="1" fontId="26" fillId="0" borderId="58" xfId="0" applyNumberFormat="1" applyFont="1" applyBorder="1" applyAlignment="1">
      <alignment horizontal="center" vertical="justify" wrapText="1"/>
    </xf>
    <xf numFmtId="1" fontId="26" fillId="0" borderId="53" xfId="0" applyNumberFormat="1" applyFont="1" applyBorder="1" applyAlignment="1">
      <alignment horizontal="center" vertical="justify" wrapText="1"/>
    </xf>
    <xf numFmtId="1" fontId="26" fillId="0" borderId="53" xfId="0" applyNumberFormat="1" applyFont="1" applyFill="1" applyBorder="1" applyAlignment="1">
      <alignment horizontal="center" vertical="justify" wrapText="1"/>
    </xf>
    <xf numFmtId="1" fontId="26" fillId="0" borderId="55" xfId="0" applyNumberFormat="1" applyFont="1" applyBorder="1" applyAlignment="1">
      <alignment horizontal="center" vertical="justify" wrapText="1"/>
    </xf>
    <xf numFmtId="1" fontId="26" fillId="0" borderId="55" xfId="0" applyNumberFormat="1" applyFont="1" applyFill="1" applyBorder="1" applyAlignment="1">
      <alignment horizontal="justify" vertical="justify" wrapText="1"/>
    </xf>
    <xf numFmtId="1" fontId="26" fillId="0" borderId="71" xfId="0" applyNumberFormat="1" applyFont="1" applyFill="1" applyBorder="1" applyAlignment="1">
      <alignment horizontal="justify" vertical="justify" wrapText="1"/>
    </xf>
    <xf numFmtId="1" fontId="26" fillId="0" borderId="57" xfId="0" applyNumberFormat="1" applyFont="1" applyFill="1" applyBorder="1" applyAlignment="1">
      <alignment horizontal="justify" vertical="justify" wrapText="1"/>
    </xf>
    <xf numFmtId="1" fontId="26" fillId="0" borderId="56" xfId="0" applyNumberFormat="1" applyFont="1" applyFill="1" applyBorder="1" applyAlignment="1">
      <alignment horizontal="justify" vertical="justify" wrapText="1"/>
    </xf>
    <xf numFmtId="1" fontId="45" fillId="0" borderId="0" xfId="0" applyNumberFormat="1" applyFont="1" applyFill="1" applyBorder="1" applyAlignment="1">
      <alignment horizontal="left"/>
    </xf>
    <xf numFmtId="1" fontId="49" fillId="0" borderId="0" xfId="0" applyNumberFormat="1" applyFont="1" applyBorder="1" applyAlignment="1">
      <alignment horizontal="left"/>
    </xf>
    <xf numFmtId="1" fontId="24" fillId="0" borderId="22" xfId="0" applyNumberFormat="1" applyFont="1" applyBorder="1" applyAlignment="1">
      <alignment horizontal="left" vertical="center"/>
    </xf>
    <xf numFmtId="1" fontId="24" fillId="0" borderId="72" xfId="0" applyNumberFormat="1" applyFont="1" applyBorder="1" applyAlignment="1">
      <alignment horizontal="left" vertical="center"/>
    </xf>
    <xf numFmtId="1" fontId="26" fillId="0" borderId="71" xfId="0" applyNumberFormat="1" applyFont="1" applyFill="1" applyBorder="1" applyAlignment="1">
      <alignment horizontal="center" vertical="justify" wrapText="1"/>
    </xf>
    <xf numFmtId="1" fontId="26" fillId="0" borderId="56" xfId="0" applyNumberFormat="1" applyFont="1" applyFill="1" applyBorder="1" applyAlignment="1">
      <alignment horizontal="center" vertical="justify" wrapText="1"/>
    </xf>
    <xf numFmtId="0" fontId="21" fillId="0" borderId="0" xfId="0" applyFont="1" applyBorder="1" applyAlignment="1">
      <alignment horizontal="left"/>
    </xf>
    <xf numFmtId="0" fontId="63" fillId="0" borderId="71" xfId="0" applyFont="1" applyBorder="1" applyAlignment="1">
      <alignment horizontal="center" vertical="center"/>
    </xf>
    <xf numFmtId="0" fontId="63" fillId="0" borderId="79" xfId="0" applyFont="1" applyBorder="1" applyAlignment="1">
      <alignment horizontal="center" vertical="center"/>
    </xf>
    <xf numFmtId="0" fontId="19" fillId="0" borderId="53" xfId="0" applyFont="1" applyBorder="1" applyAlignment="1">
      <alignment horizontal="justify" vertical="justify" wrapText="1"/>
    </xf>
    <xf numFmtId="0" fontId="19" fillId="0" borderId="55" xfId="0" applyFont="1" applyBorder="1" applyAlignment="1">
      <alignment horizontal="justify" vertical="justify" wrapText="1"/>
    </xf>
    <xf numFmtId="1" fontId="19" fillId="0" borderId="53" xfId="0" applyNumberFormat="1" applyFont="1" applyBorder="1" applyAlignment="1">
      <alignment horizontal="justify" vertical="justify" wrapText="1"/>
    </xf>
    <xf numFmtId="0" fontId="19" fillId="0" borderId="58" xfId="0" applyFont="1" applyBorder="1" applyAlignment="1">
      <alignment horizontal="justify" vertical="justify" wrapText="1"/>
    </xf>
    <xf numFmtId="0" fontId="19" fillId="0" borderId="58" xfId="0" applyFont="1" applyBorder="1" applyAlignment="1">
      <alignment horizontal="center" vertical="justify" wrapText="1"/>
    </xf>
    <xf numFmtId="0" fontId="19" fillId="0" borderId="55" xfId="0" applyFont="1" applyBorder="1" applyAlignment="1">
      <alignment horizontal="center" vertical="justify" wrapText="1"/>
    </xf>
    <xf numFmtId="0" fontId="19" fillId="0" borderId="53" xfId="0" applyFont="1" applyFill="1" applyBorder="1" applyAlignment="1">
      <alignment horizontal="justify" vertical="justify" wrapText="1"/>
    </xf>
    <xf numFmtId="0" fontId="19" fillId="0" borderId="55" xfId="0" applyFont="1" applyFill="1" applyBorder="1" applyAlignment="1">
      <alignment horizontal="justify" vertical="justify" wrapText="1"/>
    </xf>
    <xf numFmtId="1" fontId="19" fillId="0" borderId="53" xfId="0" applyNumberFormat="1" applyFont="1" applyFill="1" applyBorder="1" applyAlignment="1">
      <alignment horizontal="justify" vertical="justify" wrapText="1"/>
    </xf>
    <xf numFmtId="1" fontId="19" fillId="0" borderId="55" xfId="0" applyNumberFormat="1" applyFont="1" applyFill="1" applyBorder="1" applyAlignment="1">
      <alignment horizontal="justify" vertical="justify" wrapText="1"/>
    </xf>
    <xf numFmtId="0" fontId="69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8" fillId="0" borderId="42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1" fontId="26" fillId="0" borderId="58" xfId="0" applyNumberFormat="1" applyFont="1" applyBorder="1" applyAlignment="1">
      <alignment horizontal="center" vertical="center" wrapText="1"/>
    </xf>
    <xf numFmtId="1" fontId="26" fillId="0" borderId="55" xfId="0" applyNumberFormat="1" applyFont="1" applyBorder="1" applyAlignment="1">
      <alignment horizontal="center" vertical="center" wrapText="1"/>
    </xf>
    <xf numFmtId="1" fontId="26" fillId="0" borderId="58" xfId="0" applyNumberFormat="1" applyFont="1" applyFill="1" applyBorder="1" applyAlignment="1">
      <alignment horizontal="center" vertical="center" wrapText="1"/>
    </xf>
    <xf numFmtId="1" fontId="26" fillId="0" borderId="55" xfId="0" applyNumberFormat="1" applyFont="1" applyFill="1" applyBorder="1" applyAlignment="1">
      <alignment horizontal="center" vertical="center" wrapText="1"/>
    </xf>
    <xf numFmtId="0" fontId="26" fillId="0" borderId="58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/>
    </xf>
    <xf numFmtId="0" fontId="19" fillId="0" borderId="65" xfId="0" applyFont="1" applyBorder="1" applyAlignment="1">
      <alignment horizontal="center"/>
    </xf>
    <xf numFmtId="0" fontId="19" fillId="0" borderId="66" xfId="0" applyFont="1" applyBorder="1" applyAlignment="1">
      <alignment horizontal="center"/>
    </xf>
    <xf numFmtId="0" fontId="67" fillId="0" borderId="7" xfId="0" applyFont="1" applyBorder="1" applyAlignment="1">
      <alignment horizontal="center" vertical="center" wrapText="1"/>
    </xf>
    <xf numFmtId="0" fontId="67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1" fontId="19" fillId="0" borderId="58" xfId="0" applyNumberFormat="1" applyFont="1" applyFill="1" applyBorder="1" applyAlignment="1">
      <alignment horizontal="center" vertical="center" wrapText="1"/>
    </xf>
    <xf numFmtId="1" fontId="19" fillId="0" borderId="55" xfId="0" applyNumberFormat="1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justify" wrapText="1"/>
    </xf>
    <xf numFmtId="0" fontId="3" fillId="0" borderId="45" xfId="0" applyFont="1" applyBorder="1" applyAlignment="1">
      <alignment horizontal="center" vertical="justify" wrapText="1"/>
    </xf>
    <xf numFmtId="0" fontId="3" fillId="0" borderId="44" xfId="0" applyFont="1" applyBorder="1" applyAlignment="1">
      <alignment horizontal="center" vertical="justify" wrapText="1"/>
    </xf>
    <xf numFmtId="0" fontId="3" fillId="0" borderId="68" xfId="0" applyFont="1" applyFill="1" applyBorder="1" applyAlignment="1">
      <alignment horizontal="center" vertical="justify" wrapText="1"/>
    </xf>
    <xf numFmtId="0" fontId="3" fillId="0" borderId="45" xfId="0" applyFont="1" applyFill="1" applyBorder="1" applyAlignment="1">
      <alignment horizontal="center" vertical="justify" wrapText="1"/>
    </xf>
    <xf numFmtId="0" fontId="3" fillId="0" borderId="68" xfId="0" applyFont="1" applyFill="1" applyBorder="1" applyAlignment="1">
      <alignment horizontal="justify" vertical="justify" wrapText="1"/>
    </xf>
    <xf numFmtId="0" fontId="3" fillId="0" borderId="44" xfId="0" applyFont="1" applyFill="1" applyBorder="1" applyAlignment="1">
      <alignment horizontal="justify" vertical="justify" wrapText="1"/>
    </xf>
    <xf numFmtId="0" fontId="19" fillId="0" borderId="0" xfId="0" applyFont="1" applyFill="1" applyBorder="1" applyAlignment="1">
      <alignment horizontal="justify" vertical="justify" wrapText="1"/>
    </xf>
    <xf numFmtId="0" fontId="19" fillId="0" borderId="42" xfId="0" applyFont="1" applyBorder="1" applyAlignment="1">
      <alignment horizontal="left" vertical="center"/>
    </xf>
    <xf numFmtId="0" fontId="19" fillId="0" borderId="76" xfId="0" applyFont="1" applyBorder="1" applyAlignment="1">
      <alignment horizontal="left" vertical="center"/>
    </xf>
    <xf numFmtId="0" fontId="3" fillId="0" borderId="44" xfId="0" applyFont="1" applyFill="1" applyBorder="1" applyAlignment="1">
      <alignment horizontal="center" vertical="justify" wrapText="1"/>
    </xf>
    <xf numFmtId="0" fontId="26" fillId="0" borderId="68" xfId="0" applyFont="1" applyBorder="1" applyAlignment="1">
      <alignment horizontal="center" vertical="justify" wrapText="1"/>
    </xf>
    <xf numFmtId="0" fontId="26" fillId="0" borderId="45" xfId="0" applyFont="1" applyBorder="1" applyAlignment="1">
      <alignment horizontal="center" vertical="justify" wrapText="1"/>
    </xf>
    <xf numFmtId="0" fontId="26" fillId="0" borderId="44" xfId="0" applyFont="1" applyBorder="1" applyAlignment="1">
      <alignment horizontal="center" vertical="justify" wrapText="1"/>
    </xf>
    <xf numFmtId="1" fontId="26" fillId="0" borderId="68" xfId="0" applyNumberFormat="1" applyFont="1" applyBorder="1" applyAlignment="1">
      <alignment horizontal="center" vertical="justify" wrapText="1"/>
    </xf>
    <xf numFmtId="1" fontId="26" fillId="0" borderId="45" xfId="0" applyNumberFormat="1" applyFont="1" applyBorder="1" applyAlignment="1">
      <alignment horizontal="center" vertical="justify" wrapText="1"/>
    </xf>
    <xf numFmtId="0" fontId="26" fillId="0" borderId="68" xfId="0" applyFont="1" applyFill="1" applyBorder="1" applyAlignment="1">
      <alignment horizontal="center" vertical="justify" wrapText="1"/>
    </xf>
    <xf numFmtId="0" fontId="26" fillId="0" borderId="45" xfId="0" applyFont="1" applyFill="1" applyBorder="1" applyAlignment="1">
      <alignment horizontal="center" vertical="justify" wrapText="1"/>
    </xf>
    <xf numFmtId="0" fontId="26" fillId="0" borderId="68" xfId="0" applyFont="1" applyFill="1" applyBorder="1" applyAlignment="1">
      <alignment horizontal="justify" vertical="justify" wrapText="1"/>
    </xf>
    <xf numFmtId="0" fontId="26" fillId="0" borderId="45" xfId="0" applyFont="1" applyFill="1" applyBorder="1" applyAlignment="1">
      <alignment horizontal="justify" vertical="justify" wrapText="1"/>
    </xf>
    <xf numFmtId="0" fontId="1" fillId="0" borderId="6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justify" wrapText="1"/>
    </xf>
    <xf numFmtId="0" fontId="19" fillId="0" borderId="55" xfId="0" applyFont="1" applyFill="1" applyBorder="1" applyAlignment="1">
      <alignment horizontal="center" vertical="justify" wrapText="1"/>
    </xf>
    <xf numFmtId="0" fontId="19" fillId="0" borderId="53" xfId="0" applyFont="1" applyBorder="1" applyAlignment="1">
      <alignment horizontal="center" vertical="justify" wrapText="1"/>
    </xf>
    <xf numFmtId="1" fontId="19" fillId="0" borderId="53" xfId="0" applyNumberFormat="1" applyFont="1" applyBorder="1" applyAlignment="1">
      <alignment horizontal="center" vertical="justify" wrapText="1"/>
    </xf>
    <xf numFmtId="0" fontId="19" fillId="0" borderId="58" xfId="0" applyFont="1" applyFill="1" applyBorder="1" applyAlignment="1">
      <alignment horizontal="center" vertical="justify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68" xfId="0" applyFont="1" applyBorder="1" applyAlignment="1">
      <alignment horizontal="left" vertical="center"/>
    </xf>
    <xf numFmtId="0" fontId="19" fillId="0" borderId="64" xfId="0" applyFont="1" applyBorder="1" applyAlignment="1">
      <alignment horizontal="left" vertical="center"/>
    </xf>
  </cellXfs>
  <cellStyles count="3">
    <cellStyle name="Comma" xfId="1" builtinId="3"/>
    <cellStyle name="Comma 18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C61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6.5" x14ac:dyDescent="0.3"/>
  <cols>
    <col min="1" max="1" width="65" style="90" bestFit="1" customWidth="1"/>
    <col min="2" max="2" width="3.85546875" style="90" customWidth="1"/>
    <col min="3" max="4" width="13.85546875" style="90" bestFit="1" customWidth="1"/>
    <col min="5" max="5" width="13.85546875" style="90" customWidth="1"/>
    <col min="6" max="6" width="13.85546875" style="90" bestFit="1" customWidth="1"/>
    <col min="7" max="8" width="12.42578125" style="90" bestFit="1" customWidth="1"/>
    <col min="9" max="9" width="15.85546875" style="90" customWidth="1"/>
    <col min="10" max="11" width="12.42578125" style="90" bestFit="1" customWidth="1"/>
    <col min="12" max="12" width="13.5703125" style="90" bestFit="1" customWidth="1"/>
    <col min="13" max="13" width="18.28515625" style="90" bestFit="1" customWidth="1"/>
    <col min="14" max="14" width="18.28515625" style="382" bestFit="1" customWidth="1"/>
    <col min="15" max="15" width="13.85546875" style="382" bestFit="1" customWidth="1"/>
    <col min="16" max="17" width="13.85546875" style="90" customWidth="1"/>
    <col min="18" max="18" width="12.85546875" style="90" bestFit="1" customWidth="1"/>
    <col min="19" max="19" width="12.42578125" style="90" bestFit="1" customWidth="1"/>
    <col min="20" max="20" width="13.85546875" style="90" bestFit="1" customWidth="1"/>
    <col min="21" max="21" width="13.85546875" style="90" customWidth="1"/>
    <col min="22" max="22" width="13.85546875" style="90" bestFit="1" customWidth="1"/>
    <col min="23" max="23" width="12.42578125" style="90" bestFit="1" customWidth="1"/>
    <col min="24" max="27" width="13.85546875" style="90" bestFit="1" customWidth="1"/>
    <col min="28" max="29" width="12.42578125" style="90" bestFit="1" customWidth="1"/>
    <col min="30" max="30" width="13.85546875" style="90" bestFit="1" customWidth="1"/>
    <col min="31" max="31" width="13.140625" style="90" bestFit="1" customWidth="1"/>
    <col min="32" max="32" width="13.85546875" style="90" bestFit="1" customWidth="1"/>
    <col min="33" max="33" width="12.42578125" style="90" bestFit="1" customWidth="1"/>
    <col min="34" max="35" width="13.85546875" style="90" bestFit="1" customWidth="1"/>
    <col min="36" max="37" width="13.140625" style="90" bestFit="1" customWidth="1"/>
    <col min="38" max="39" width="13.85546875" style="90" customWidth="1"/>
    <col min="40" max="40" width="12.42578125" style="90" bestFit="1" customWidth="1"/>
    <col min="41" max="42" width="13.85546875" style="90" bestFit="1" customWidth="1"/>
    <col min="43" max="44" width="12.42578125" style="90" bestFit="1" customWidth="1"/>
    <col min="45" max="46" width="13.85546875" style="90" bestFit="1" customWidth="1"/>
    <col min="47" max="47" width="12.42578125" style="90" bestFit="1" customWidth="1"/>
    <col min="48" max="48" width="13.85546875" style="90" bestFit="1" customWidth="1"/>
    <col min="49" max="50" width="12.85546875" style="90" bestFit="1" customWidth="1"/>
    <col min="51" max="52" width="13.42578125" style="90" bestFit="1" customWidth="1"/>
    <col min="53" max="54" width="12.42578125" style="90" bestFit="1" customWidth="1"/>
    <col min="55" max="55" width="9.5703125" style="90" bestFit="1" customWidth="1"/>
    <col min="56" max="16384" width="9.140625" style="90"/>
  </cols>
  <sheetData>
    <row r="1" spans="1:55" s="393" customFormat="1" ht="17.25" thickBot="1" x14ac:dyDescent="0.4">
      <c r="A1" s="1365" t="s">
        <v>428</v>
      </c>
      <c r="B1" s="1365"/>
      <c r="C1" s="1365"/>
      <c r="D1" s="1365"/>
      <c r="E1" s="1365"/>
      <c r="F1" s="1365"/>
      <c r="G1" s="1365"/>
      <c r="H1" s="1365"/>
      <c r="I1" s="1365"/>
      <c r="J1" s="1365"/>
      <c r="K1" s="1365"/>
      <c r="L1" s="1365"/>
      <c r="M1" s="1365"/>
      <c r="N1" s="1365"/>
      <c r="O1" s="1365"/>
      <c r="P1" s="1365"/>
      <c r="Q1" s="1365"/>
      <c r="R1" s="1365"/>
      <c r="S1" s="1365"/>
      <c r="T1" s="1365"/>
      <c r="U1" s="1365"/>
      <c r="V1" s="1365"/>
      <c r="W1" s="1365"/>
      <c r="X1" s="1365"/>
      <c r="Y1" s="1365"/>
      <c r="Z1" s="1365"/>
      <c r="AA1" s="1365"/>
      <c r="AB1" s="1365"/>
      <c r="AC1" s="1365"/>
      <c r="AD1" s="1365"/>
      <c r="AE1" s="1365"/>
      <c r="AF1" s="1365"/>
      <c r="AG1" s="1365"/>
      <c r="AH1" s="1365"/>
      <c r="AI1" s="1365"/>
      <c r="AJ1" s="1365"/>
      <c r="AK1" s="1365"/>
      <c r="AL1" s="1365"/>
      <c r="AM1" s="1365"/>
      <c r="AN1" s="1365"/>
      <c r="AO1" s="1365"/>
      <c r="AP1" s="1365"/>
      <c r="AQ1" s="1365"/>
      <c r="AR1" s="1365"/>
      <c r="AS1" s="1365"/>
      <c r="AT1" s="1365"/>
      <c r="AU1" s="1365"/>
      <c r="AV1" s="1365"/>
      <c r="AW1" s="1365"/>
      <c r="AX1" s="1365"/>
      <c r="AY1" s="1365"/>
      <c r="AZ1" s="1365"/>
      <c r="BA1" s="1365"/>
      <c r="BB1" s="1365"/>
    </row>
    <row r="2" spans="1:55" ht="69" customHeight="1" thickBot="1" x14ac:dyDescent="0.35">
      <c r="A2" s="1366" t="s">
        <v>0</v>
      </c>
      <c r="B2" s="579"/>
      <c r="C2" s="858" t="s">
        <v>158</v>
      </c>
      <c r="D2" s="1241" t="s">
        <v>158</v>
      </c>
      <c r="E2" s="848" t="s">
        <v>159</v>
      </c>
      <c r="F2" s="869" t="s">
        <v>159</v>
      </c>
      <c r="G2" s="848" t="s">
        <v>160</v>
      </c>
      <c r="H2" s="869" t="s">
        <v>160</v>
      </c>
      <c r="I2" s="848" t="s">
        <v>161</v>
      </c>
      <c r="J2" s="869" t="s">
        <v>161</v>
      </c>
      <c r="K2" s="848" t="s">
        <v>162</v>
      </c>
      <c r="L2" s="869" t="s">
        <v>162</v>
      </c>
      <c r="M2" s="848" t="s">
        <v>163</v>
      </c>
      <c r="N2" s="869" t="s">
        <v>163</v>
      </c>
      <c r="O2" s="848" t="s">
        <v>312</v>
      </c>
      <c r="P2" s="869" t="s">
        <v>312</v>
      </c>
      <c r="Q2" s="848" t="s">
        <v>164</v>
      </c>
      <c r="R2" s="869" t="s">
        <v>164</v>
      </c>
      <c r="S2" s="848" t="s">
        <v>165</v>
      </c>
      <c r="T2" s="869" t="s">
        <v>165</v>
      </c>
      <c r="U2" s="848" t="s">
        <v>166</v>
      </c>
      <c r="V2" s="869" t="s">
        <v>166</v>
      </c>
      <c r="W2" s="848" t="s">
        <v>167</v>
      </c>
      <c r="X2" s="869" t="s">
        <v>167</v>
      </c>
      <c r="Y2" s="848" t="s">
        <v>168</v>
      </c>
      <c r="Z2" s="869" t="s">
        <v>168</v>
      </c>
      <c r="AA2" s="848" t="s">
        <v>381</v>
      </c>
      <c r="AB2" s="869" t="s">
        <v>381</v>
      </c>
      <c r="AC2" s="848" t="s">
        <v>169</v>
      </c>
      <c r="AD2" s="869" t="s">
        <v>169</v>
      </c>
      <c r="AE2" s="848" t="s">
        <v>170</v>
      </c>
      <c r="AF2" s="869" t="s">
        <v>170</v>
      </c>
      <c r="AG2" s="848" t="s">
        <v>171</v>
      </c>
      <c r="AH2" s="869" t="s">
        <v>171</v>
      </c>
      <c r="AI2" s="848" t="s">
        <v>172</v>
      </c>
      <c r="AJ2" s="869" t="s">
        <v>172</v>
      </c>
      <c r="AK2" s="848" t="s">
        <v>173</v>
      </c>
      <c r="AL2" s="869" t="s">
        <v>173</v>
      </c>
      <c r="AM2" s="848" t="s">
        <v>174</v>
      </c>
      <c r="AN2" s="869" t="s">
        <v>174</v>
      </c>
      <c r="AO2" s="848" t="s">
        <v>175</v>
      </c>
      <c r="AP2" s="869" t="s">
        <v>175</v>
      </c>
      <c r="AQ2" s="848" t="s">
        <v>176</v>
      </c>
      <c r="AR2" s="869" t="s">
        <v>176</v>
      </c>
      <c r="AS2" s="848" t="s">
        <v>177</v>
      </c>
      <c r="AT2" s="849" t="s">
        <v>177</v>
      </c>
      <c r="AU2" s="848" t="s">
        <v>178</v>
      </c>
      <c r="AV2" s="869" t="s">
        <v>178</v>
      </c>
      <c r="AW2" s="848" t="s">
        <v>1</v>
      </c>
      <c r="AX2" s="869" t="s">
        <v>1</v>
      </c>
      <c r="AY2" s="848" t="s">
        <v>179</v>
      </c>
      <c r="AZ2" s="869" t="s">
        <v>179</v>
      </c>
      <c r="BA2" s="848" t="s">
        <v>2</v>
      </c>
      <c r="BB2" s="849" t="s">
        <v>2</v>
      </c>
    </row>
    <row r="3" spans="1:55" s="433" customFormat="1" ht="15" customHeight="1" thickBot="1" x14ac:dyDescent="0.35">
      <c r="A3" s="1367"/>
      <c r="B3" s="582"/>
      <c r="C3" s="852" t="s">
        <v>437</v>
      </c>
      <c r="D3" s="1240" t="s">
        <v>420</v>
      </c>
      <c r="E3" s="852" t="s">
        <v>437</v>
      </c>
      <c r="F3" s="860" t="s">
        <v>420</v>
      </c>
      <c r="G3" s="852" t="s">
        <v>437</v>
      </c>
      <c r="H3" s="860" t="s">
        <v>420</v>
      </c>
      <c r="I3" s="852" t="s">
        <v>437</v>
      </c>
      <c r="J3" s="860" t="s">
        <v>420</v>
      </c>
      <c r="K3" s="852" t="s">
        <v>437</v>
      </c>
      <c r="L3" s="860" t="s">
        <v>420</v>
      </c>
      <c r="M3" s="852" t="s">
        <v>437</v>
      </c>
      <c r="N3" s="860" t="s">
        <v>420</v>
      </c>
      <c r="O3" s="852" t="s">
        <v>437</v>
      </c>
      <c r="P3" s="860" t="s">
        <v>420</v>
      </c>
      <c r="Q3" s="852" t="s">
        <v>437</v>
      </c>
      <c r="R3" s="860" t="s">
        <v>420</v>
      </c>
      <c r="S3" s="852" t="s">
        <v>437</v>
      </c>
      <c r="T3" s="860" t="s">
        <v>420</v>
      </c>
      <c r="U3" s="852" t="s">
        <v>437</v>
      </c>
      <c r="V3" s="860" t="s">
        <v>420</v>
      </c>
      <c r="W3" s="852" t="s">
        <v>437</v>
      </c>
      <c r="X3" s="860" t="s">
        <v>420</v>
      </c>
      <c r="Y3" s="852" t="s">
        <v>437</v>
      </c>
      <c r="Z3" s="860" t="s">
        <v>420</v>
      </c>
      <c r="AA3" s="852" t="s">
        <v>437</v>
      </c>
      <c r="AB3" s="860" t="s">
        <v>420</v>
      </c>
      <c r="AC3" s="852" t="s">
        <v>437</v>
      </c>
      <c r="AD3" s="860" t="s">
        <v>420</v>
      </c>
      <c r="AE3" s="852" t="s">
        <v>437</v>
      </c>
      <c r="AF3" s="860" t="s">
        <v>420</v>
      </c>
      <c r="AG3" s="852" t="s">
        <v>437</v>
      </c>
      <c r="AH3" s="860" t="s">
        <v>420</v>
      </c>
      <c r="AI3" s="852" t="s">
        <v>437</v>
      </c>
      <c r="AJ3" s="860" t="s">
        <v>420</v>
      </c>
      <c r="AK3" s="852" t="s">
        <v>437</v>
      </c>
      <c r="AL3" s="860" t="s">
        <v>420</v>
      </c>
      <c r="AM3" s="852" t="s">
        <v>437</v>
      </c>
      <c r="AN3" s="860" t="s">
        <v>420</v>
      </c>
      <c r="AO3" s="852" t="s">
        <v>437</v>
      </c>
      <c r="AP3" s="860" t="s">
        <v>420</v>
      </c>
      <c r="AQ3" s="852" t="s">
        <v>437</v>
      </c>
      <c r="AR3" s="860" t="s">
        <v>420</v>
      </c>
      <c r="AS3" s="852" t="s">
        <v>437</v>
      </c>
      <c r="AT3" s="860" t="s">
        <v>420</v>
      </c>
      <c r="AU3" s="852" t="s">
        <v>437</v>
      </c>
      <c r="AV3" s="860" t="s">
        <v>420</v>
      </c>
      <c r="AW3" s="852" t="s">
        <v>437</v>
      </c>
      <c r="AX3" s="860" t="s">
        <v>420</v>
      </c>
      <c r="AY3" s="852" t="s">
        <v>437</v>
      </c>
      <c r="AZ3" s="860" t="s">
        <v>420</v>
      </c>
      <c r="BA3" s="852" t="s">
        <v>437</v>
      </c>
      <c r="BB3" s="1240" t="s">
        <v>420</v>
      </c>
    </row>
    <row r="4" spans="1:55" ht="15" customHeight="1" x14ac:dyDescent="0.3">
      <c r="A4" s="396" t="s">
        <v>21</v>
      </c>
      <c r="B4" s="397"/>
      <c r="C4" s="859"/>
      <c r="D4" s="1242"/>
      <c r="E4" s="870"/>
      <c r="F4" s="871"/>
      <c r="G4" s="850"/>
      <c r="H4" s="871"/>
      <c r="I4" s="850"/>
      <c r="J4" s="871"/>
      <c r="K4" s="850"/>
      <c r="L4" s="871"/>
      <c r="M4" s="850"/>
      <c r="N4" s="807"/>
      <c r="O4" s="808"/>
      <c r="P4" s="871"/>
      <c r="Q4" s="850"/>
      <c r="R4" s="871"/>
      <c r="S4" s="850"/>
      <c r="T4" s="871"/>
      <c r="U4" s="850"/>
      <c r="V4" s="871"/>
      <c r="W4" s="850"/>
      <c r="X4" s="871"/>
      <c r="Y4" s="850"/>
      <c r="Z4" s="871"/>
      <c r="AA4" s="850"/>
      <c r="AB4" s="871"/>
      <c r="AC4" s="850"/>
      <c r="AD4" s="871"/>
      <c r="AE4" s="850"/>
      <c r="AF4" s="871"/>
      <c r="AG4" s="850"/>
      <c r="AH4" s="871"/>
      <c r="AI4" s="850"/>
      <c r="AJ4" s="871"/>
      <c r="AK4" s="850"/>
      <c r="AL4" s="871"/>
      <c r="AM4" s="850"/>
      <c r="AN4" s="871"/>
      <c r="AO4" s="850"/>
      <c r="AP4" s="871"/>
      <c r="AQ4" s="850"/>
      <c r="AR4" s="871"/>
      <c r="AS4" s="850"/>
      <c r="AT4" s="851"/>
      <c r="AU4" s="850"/>
      <c r="AV4" s="871"/>
      <c r="AW4" s="850"/>
      <c r="AX4" s="871"/>
      <c r="AY4" s="850"/>
      <c r="AZ4" s="871"/>
      <c r="BA4" s="850">
        <f>AW4+AY4</f>
        <v>0</v>
      </c>
      <c r="BB4" s="851">
        <f>AX4+AZ4</f>
        <v>0</v>
      </c>
    </row>
    <row r="5" spans="1:55" ht="17.25" x14ac:dyDescent="0.35">
      <c r="A5" s="350" t="s">
        <v>22</v>
      </c>
      <c r="B5" s="395" t="s">
        <v>228</v>
      </c>
      <c r="C5" s="854">
        <v>1506969</v>
      </c>
      <c r="D5" s="1243">
        <v>1214023</v>
      </c>
      <c r="E5" s="862">
        <v>36995</v>
      </c>
      <c r="F5" s="864">
        <v>41646</v>
      </c>
      <c r="G5" s="843">
        <v>131745</v>
      </c>
      <c r="H5" s="864">
        <v>126814</v>
      </c>
      <c r="I5" s="843">
        <v>1946143</v>
      </c>
      <c r="J5" s="864">
        <v>1612705</v>
      </c>
      <c r="K5" s="843">
        <v>292058</v>
      </c>
      <c r="L5" s="864">
        <v>260156</v>
      </c>
      <c r="M5" s="843">
        <v>719740</v>
      </c>
      <c r="N5" s="872">
        <v>588993</v>
      </c>
      <c r="O5" s="874">
        <v>149539</v>
      </c>
      <c r="P5" s="864">
        <v>109879</v>
      </c>
      <c r="Q5" s="843">
        <v>169047</v>
      </c>
      <c r="R5" s="876">
        <v>146420</v>
      </c>
      <c r="S5" s="879"/>
      <c r="T5" s="864">
        <v>376796</v>
      </c>
      <c r="U5" s="843">
        <v>175801</v>
      </c>
      <c r="V5" s="864">
        <v>143354</v>
      </c>
      <c r="W5" s="843">
        <v>5592407</v>
      </c>
      <c r="X5" s="864">
        <v>4596283</v>
      </c>
      <c r="Y5" s="843">
        <v>3993278</v>
      </c>
      <c r="Z5" s="864">
        <v>3745800</v>
      </c>
      <c r="AA5" s="843">
        <v>228899</v>
      </c>
      <c r="AB5" s="881">
        <v>220733</v>
      </c>
      <c r="AC5" s="884">
        <v>607453</v>
      </c>
      <c r="AD5" s="864">
        <v>518656</v>
      </c>
      <c r="AE5" s="843">
        <v>1532046</v>
      </c>
      <c r="AF5" s="864">
        <v>1301511</v>
      </c>
      <c r="AG5" s="843">
        <v>2534191</v>
      </c>
      <c r="AH5" s="864">
        <v>2241417</v>
      </c>
      <c r="AI5" s="843">
        <v>878521</v>
      </c>
      <c r="AJ5" s="864">
        <v>734826</v>
      </c>
      <c r="AK5" s="843">
        <v>512210</v>
      </c>
      <c r="AL5" s="864">
        <v>503657</v>
      </c>
      <c r="AM5" s="843"/>
      <c r="AN5" s="889"/>
      <c r="AO5" s="891">
        <v>6731560</v>
      </c>
      <c r="AP5" s="893">
        <v>5875964</v>
      </c>
      <c r="AQ5" s="897">
        <v>254639</v>
      </c>
      <c r="AR5" s="900">
        <v>234960</v>
      </c>
      <c r="AS5" s="846">
        <v>574637</v>
      </c>
      <c r="AT5" s="1024">
        <v>413680</v>
      </c>
      <c r="AU5" s="885">
        <v>2050350</v>
      </c>
      <c r="AV5" s="864">
        <v>1444503</v>
      </c>
      <c r="AW5" s="843">
        <f>SUM(C5+E5+G5+I5+K5+M5+O5+Q5+S5+U5+W5+Y5+AA5+AC5+AE5+AG5+AI5+AK5+AM5+AO5+AQ5+AS5+AU5)</f>
        <v>30618228</v>
      </c>
      <c r="AX5" s="864">
        <f>SUM(D5+F5+H5+J5+L5+N5+P5+R5+T5+V5+X5+Z5+AB5+AD5+AF5+AH5+AJ5+AL5+AN5+AP5+AR5+AT5+AV5)</f>
        <v>26452776</v>
      </c>
      <c r="AY5" s="845">
        <v>47466813</v>
      </c>
      <c r="AZ5" s="882">
        <v>42802497</v>
      </c>
      <c r="BA5" s="841">
        <f t="shared" ref="BA5:BA61" si="0">AW5+AY5</f>
        <v>78085041</v>
      </c>
      <c r="BB5" s="842">
        <f t="shared" ref="BB5:BB61" si="1">AX5+AZ5</f>
        <v>69255273</v>
      </c>
      <c r="BC5" s="398"/>
    </row>
    <row r="6" spans="1:55" ht="17.25" x14ac:dyDescent="0.35">
      <c r="A6" s="350" t="s">
        <v>229</v>
      </c>
      <c r="B6" s="399"/>
      <c r="C6" s="853">
        <v>-53023</v>
      </c>
      <c r="D6" s="1243">
        <v>-49878</v>
      </c>
      <c r="E6" s="862">
        <v>-6914</v>
      </c>
      <c r="F6" s="864">
        <v>-7655</v>
      </c>
      <c r="G6" s="843">
        <v>-6960</v>
      </c>
      <c r="H6" s="864">
        <v>-7020</v>
      </c>
      <c r="I6" s="843">
        <v>-34603</v>
      </c>
      <c r="J6" s="864">
        <v>-20215</v>
      </c>
      <c r="K6" s="843">
        <v>-4982</v>
      </c>
      <c r="L6" s="864">
        <v>-4034</v>
      </c>
      <c r="M6" s="843">
        <v>-16767</v>
      </c>
      <c r="N6" s="872">
        <v>-6586</v>
      </c>
      <c r="O6" s="874">
        <v>-4492</v>
      </c>
      <c r="P6" s="864">
        <v>-4599</v>
      </c>
      <c r="Q6" s="843">
        <v>-3609</v>
      </c>
      <c r="R6" s="190">
        <v>-3317</v>
      </c>
      <c r="S6" s="1"/>
      <c r="T6" s="864">
        <v>-15233</v>
      </c>
      <c r="U6" s="843">
        <v>-9020</v>
      </c>
      <c r="V6" s="864">
        <v>-5727</v>
      </c>
      <c r="W6" s="843">
        <v>-64840</v>
      </c>
      <c r="X6" s="864">
        <v>-56637</v>
      </c>
      <c r="Y6" s="843">
        <v>-137609</v>
      </c>
      <c r="Z6" s="864">
        <v>-113679</v>
      </c>
      <c r="AA6" s="843">
        <v>-2752</v>
      </c>
      <c r="AB6" s="881">
        <v>-2202</v>
      </c>
      <c r="AC6" s="884">
        <v>-10089</v>
      </c>
      <c r="AD6" s="864">
        <v>-20135</v>
      </c>
      <c r="AE6" s="843">
        <v>-30201</v>
      </c>
      <c r="AF6" s="864">
        <v>-23748</v>
      </c>
      <c r="AG6" s="843">
        <v>-46008</v>
      </c>
      <c r="AH6" s="864">
        <v>-42719</v>
      </c>
      <c r="AI6" s="843">
        <v>-45127</v>
      </c>
      <c r="AJ6" s="864">
        <v>-38779</v>
      </c>
      <c r="AK6" s="843">
        <v>-3548</v>
      </c>
      <c r="AL6" s="864">
        <v>-3684</v>
      </c>
      <c r="AM6" s="843"/>
      <c r="AN6" s="889"/>
      <c r="AO6" s="891">
        <v>-73461</v>
      </c>
      <c r="AP6" s="893">
        <v>-32735</v>
      </c>
      <c r="AQ6" s="897">
        <v>-753</v>
      </c>
      <c r="AR6" s="900">
        <v>-945</v>
      </c>
      <c r="AS6" s="846">
        <v>-25419</v>
      </c>
      <c r="AT6" s="1024">
        <v>-22062</v>
      </c>
      <c r="AU6" s="885">
        <v>-52818</v>
      </c>
      <c r="AV6" s="864">
        <v>-37428</v>
      </c>
      <c r="AW6" s="843">
        <f>SUM(C6+E6+G6+I6+K6+M6+O6+Q6+S6+U6+W6+Y6+AA6+AC6+AE6+AG6+AI6+AK6+AM6+AO6+AQ6+AS6+AU6)</f>
        <v>-632995</v>
      </c>
      <c r="AX6" s="864">
        <f>SUM(D6+F6+H6+J6+L6+N6+P6+R6+T6+V6+X6+Z6+AB6+AD6+AF6+AH6+AJ6+AL6+AN6+AP6+AR6+AT6+AV6)</f>
        <v>-519017</v>
      </c>
      <c r="AY6" s="845">
        <v>-66352</v>
      </c>
      <c r="AZ6" s="882">
        <v>-60575</v>
      </c>
      <c r="BA6" s="841">
        <f t="shared" si="0"/>
        <v>-699347</v>
      </c>
      <c r="BB6" s="842">
        <f t="shared" si="1"/>
        <v>-579592</v>
      </c>
    </row>
    <row r="7" spans="1:55" ht="17.25" x14ac:dyDescent="0.35">
      <c r="A7" s="350" t="s">
        <v>230</v>
      </c>
      <c r="B7" s="399"/>
      <c r="C7" s="853"/>
      <c r="D7" s="1243"/>
      <c r="E7" s="862"/>
      <c r="F7" s="864"/>
      <c r="G7" s="843"/>
      <c r="H7" s="864"/>
      <c r="I7" s="843"/>
      <c r="J7" s="864"/>
      <c r="K7" s="843"/>
      <c r="L7" s="864"/>
      <c r="M7" s="843"/>
      <c r="N7" s="872"/>
      <c r="O7" s="874"/>
      <c r="P7" s="864"/>
      <c r="Q7" s="843"/>
      <c r="R7" s="190"/>
      <c r="S7" s="1"/>
      <c r="T7" s="864"/>
      <c r="U7" s="843"/>
      <c r="V7" s="864"/>
      <c r="W7" s="843"/>
      <c r="X7" s="864"/>
      <c r="Y7" s="843">
        <v>284</v>
      </c>
      <c r="Z7" s="864">
        <v>6</v>
      </c>
      <c r="AA7" s="843"/>
      <c r="AB7" s="881"/>
      <c r="AC7" s="884"/>
      <c r="AD7" s="864"/>
      <c r="AE7" s="843"/>
      <c r="AF7" s="864"/>
      <c r="AG7" s="843"/>
      <c r="AH7" s="864"/>
      <c r="AI7" s="843"/>
      <c r="AJ7" s="864"/>
      <c r="AK7" s="843"/>
      <c r="AL7" s="864"/>
      <c r="AM7" s="843"/>
      <c r="AN7" s="889"/>
      <c r="AO7" s="891"/>
      <c r="AP7" s="894"/>
      <c r="AQ7" s="853"/>
      <c r="AR7" s="900"/>
      <c r="AS7" s="846"/>
      <c r="AT7" s="1024"/>
      <c r="AU7" s="885"/>
      <c r="AV7" s="864"/>
      <c r="AW7" s="843">
        <f t="shared" ref="AW7:AW61" si="2">SUM(C7+E7+G7+I7+K7+M7+O7+Q7+S7+U7+W7+Y7+AA7+AC7+AE7+AG7+AI7+AK7+AM7+AO7+AQ7+AS7+AU7)</f>
        <v>284</v>
      </c>
      <c r="AX7" s="864">
        <f t="shared" ref="AX7:AX61" si="3">SUM(D7+F7+H7+J7+L7+N7+P7+R7+T7+V7+X7+Z7+AB7+AD7+AF7+AH7+AJ7+AL7+AN7+AP7+AR7+AT7+AV7)</f>
        <v>6</v>
      </c>
      <c r="AY7" s="845"/>
      <c r="AZ7" s="882"/>
      <c r="BA7" s="841">
        <f t="shared" si="0"/>
        <v>284</v>
      </c>
      <c r="BB7" s="842">
        <f t="shared" si="1"/>
        <v>6</v>
      </c>
    </row>
    <row r="8" spans="1:55" s="804" customFormat="1" ht="18" x14ac:dyDescent="0.35">
      <c r="A8" s="395" t="s">
        <v>231</v>
      </c>
      <c r="B8" s="803"/>
      <c r="C8" s="855">
        <f>SUM(C5:C7)</f>
        <v>1453946</v>
      </c>
      <c r="D8" s="1025">
        <f>SUM(D5:D7)</f>
        <v>1164145</v>
      </c>
      <c r="E8" s="844">
        <f>SUM(E5:E7)</f>
        <v>30081</v>
      </c>
      <c r="F8" s="861">
        <f t="shared" ref="F8:AZ8" si="4">SUM(F5:F7)</f>
        <v>33991</v>
      </c>
      <c r="G8" s="844">
        <f>SUM(G5:G7)</f>
        <v>124785</v>
      </c>
      <c r="H8" s="861">
        <f t="shared" si="4"/>
        <v>119794</v>
      </c>
      <c r="I8" s="844">
        <f>SUM(I5:I7)</f>
        <v>1911540</v>
      </c>
      <c r="J8" s="861">
        <f t="shared" si="4"/>
        <v>1592490</v>
      </c>
      <c r="K8" s="844">
        <f>SUM(K5:K7)</f>
        <v>287076</v>
      </c>
      <c r="L8" s="861">
        <f t="shared" si="4"/>
        <v>256122</v>
      </c>
      <c r="M8" s="844">
        <f>SUM(M5:M7)</f>
        <v>702973</v>
      </c>
      <c r="N8" s="861">
        <f t="shared" si="4"/>
        <v>582407</v>
      </c>
      <c r="O8" s="844">
        <f>SUM(O5:O7)</f>
        <v>145047</v>
      </c>
      <c r="P8" s="861">
        <f t="shared" si="4"/>
        <v>105280</v>
      </c>
      <c r="Q8" s="844">
        <f>SUM(Q5:Q7)</f>
        <v>165438</v>
      </c>
      <c r="R8" s="861">
        <f t="shared" si="4"/>
        <v>143103</v>
      </c>
      <c r="S8" s="844">
        <f>SUM(S5:S7)</f>
        <v>0</v>
      </c>
      <c r="T8" s="861">
        <f t="shared" si="4"/>
        <v>361563</v>
      </c>
      <c r="U8" s="844">
        <f>SUM(U5:U7)</f>
        <v>166781</v>
      </c>
      <c r="V8" s="861">
        <f t="shared" si="4"/>
        <v>137627</v>
      </c>
      <c r="W8" s="844">
        <f>SUM(W5:W7)</f>
        <v>5527567</v>
      </c>
      <c r="X8" s="861">
        <f t="shared" si="4"/>
        <v>4539646</v>
      </c>
      <c r="Y8" s="844">
        <f>SUM(Y5:Y7)</f>
        <v>3855953</v>
      </c>
      <c r="Z8" s="861">
        <f t="shared" si="4"/>
        <v>3632127</v>
      </c>
      <c r="AA8" s="844">
        <f>SUM(AA5:AA7)</f>
        <v>226147</v>
      </c>
      <c r="AB8" s="861">
        <f t="shared" si="4"/>
        <v>218531</v>
      </c>
      <c r="AC8" s="844">
        <f>SUM(AC5:AC7)</f>
        <v>597364</v>
      </c>
      <c r="AD8" s="861">
        <f t="shared" si="4"/>
        <v>498521</v>
      </c>
      <c r="AE8" s="844">
        <f>SUM(AE5:AE7)</f>
        <v>1501845</v>
      </c>
      <c r="AF8" s="861">
        <f t="shared" si="4"/>
        <v>1277763</v>
      </c>
      <c r="AG8" s="844">
        <f>SUM(AG5:AG7)</f>
        <v>2488183</v>
      </c>
      <c r="AH8" s="861">
        <f t="shared" si="4"/>
        <v>2198698</v>
      </c>
      <c r="AI8" s="844">
        <f>SUM(AI5:AI7)</f>
        <v>833394</v>
      </c>
      <c r="AJ8" s="861">
        <f t="shared" si="4"/>
        <v>696047</v>
      </c>
      <c r="AK8" s="844">
        <f>SUM(AK5:AK7)</f>
        <v>508662</v>
      </c>
      <c r="AL8" s="861">
        <f t="shared" si="4"/>
        <v>499973</v>
      </c>
      <c r="AM8" s="844">
        <f>SUM(AM5:AM7)</f>
        <v>0</v>
      </c>
      <c r="AN8" s="861">
        <f t="shared" si="4"/>
        <v>0</v>
      </c>
      <c r="AO8" s="844">
        <f>SUM(AO5:AO7)</f>
        <v>6658099</v>
      </c>
      <c r="AP8" s="861">
        <f t="shared" si="4"/>
        <v>5843229</v>
      </c>
      <c r="AQ8" s="844">
        <f t="shared" si="4"/>
        <v>253886</v>
      </c>
      <c r="AR8" s="861">
        <f t="shared" si="4"/>
        <v>234015</v>
      </c>
      <c r="AS8" s="844">
        <f t="shared" si="4"/>
        <v>549218</v>
      </c>
      <c r="AT8" s="1025">
        <f t="shared" si="4"/>
        <v>391618</v>
      </c>
      <c r="AU8" s="844">
        <f t="shared" si="4"/>
        <v>1997532</v>
      </c>
      <c r="AV8" s="861">
        <f t="shared" si="4"/>
        <v>1407075</v>
      </c>
      <c r="AW8" s="843">
        <f t="shared" si="2"/>
        <v>29985517</v>
      </c>
      <c r="AX8" s="864">
        <f t="shared" si="3"/>
        <v>25933765</v>
      </c>
      <c r="AY8" s="71">
        <f t="shared" si="4"/>
        <v>47400461</v>
      </c>
      <c r="AZ8" s="903">
        <f t="shared" si="4"/>
        <v>42741922</v>
      </c>
      <c r="BA8" s="841">
        <f t="shared" si="0"/>
        <v>77385978</v>
      </c>
      <c r="BB8" s="842">
        <f t="shared" si="1"/>
        <v>68675687</v>
      </c>
    </row>
    <row r="9" spans="1:55" ht="17.25" x14ac:dyDescent="0.35">
      <c r="A9" s="395" t="s">
        <v>232</v>
      </c>
      <c r="B9" s="399"/>
      <c r="C9" s="853"/>
      <c r="D9" s="1244"/>
      <c r="E9" s="863"/>
      <c r="F9" s="865"/>
      <c r="G9" s="845"/>
      <c r="H9" s="865"/>
      <c r="I9" s="845"/>
      <c r="J9" s="865"/>
      <c r="K9" s="845"/>
      <c r="L9" s="865"/>
      <c r="M9" s="845"/>
      <c r="N9" s="873"/>
      <c r="O9" s="875"/>
      <c r="P9" s="865"/>
      <c r="Q9" s="845"/>
      <c r="R9" s="84"/>
      <c r="S9" s="6"/>
      <c r="T9" s="865"/>
      <c r="U9" s="845"/>
      <c r="V9" s="865"/>
      <c r="W9" s="845"/>
      <c r="X9" s="865"/>
      <c r="Y9" s="845"/>
      <c r="Z9" s="865"/>
      <c r="AA9" s="845"/>
      <c r="AB9" s="881"/>
      <c r="AC9" s="884"/>
      <c r="AD9" s="865"/>
      <c r="AE9" s="845"/>
      <c r="AF9" s="887"/>
      <c r="AG9" s="888"/>
      <c r="AH9" s="865"/>
      <c r="AI9" s="845"/>
      <c r="AJ9" s="865"/>
      <c r="AK9" s="845"/>
      <c r="AL9" s="865"/>
      <c r="AM9" s="845"/>
      <c r="AN9" s="889"/>
      <c r="AO9" s="891"/>
      <c r="AP9" s="894"/>
      <c r="AQ9" s="853"/>
      <c r="AR9" s="900"/>
      <c r="AS9" s="846"/>
      <c r="AT9" s="1024"/>
      <c r="AU9" s="885"/>
      <c r="AV9" s="865"/>
      <c r="AW9" s="843">
        <f t="shared" si="2"/>
        <v>0</v>
      </c>
      <c r="AX9" s="864">
        <f t="shared" si="3"/>
        <v>0</v>
      </c>
      <c r="AY9" s="845"/>
      <c r="AZ9" s="865"/>
      <c r="BA9" s="841">
        <f t="shared" si="0"/>
        <v>0</v>
      </c>
      <c r="BB9" s="842">
        <f t="shared" si="1"/>
        <v>0</v>
      </c>
    </row>
    <row r="10" spans="1:55" ht="17.25" x14ac:dyDescent="0.35">
      <c r="A10" s="350" t="s">
        <v>233</v>
      </c>
      <c r="B10" s="399"/>
      <c r="C10" s="853">
        <v>322232</v>
      </c>
      <c r="D10" s="1243">
        <v>283848</v>
      </c>
      <c r="E10" s="862">
        <v>18861</v>
      </c>
      <c r="F10" s="864">
        <v>16450</v>
      </c>
      <c r="G10" s="843">
        <v>72443</v>
      </c>
      <c r="H10" s="864">
        <v>65673</v>
      </c>
      <c r="I10" s="843">
        <v>335159</v>
      </c>
      <c r="J10" s="864">
        <v>299064</v>
      </c>
      <c r="K10" s="843">
        <v>67896</v>
      </c>
      <c r="L10" s="864">
        <v>58356</v>
      </c>
      <c r="M10" s="843">
        <v>121473</v>
      </c>
      <c r="N10" s="872">
        <v>100770</v>
      </c>
      <c r="O10" s="874">
        <v>40499</v>
      </c>
      <c r="P10" s="864">
        <v>35151</v>
      </c>
      <c r="Q10" s="843">
        <v>29470</v>
      </c>
      <c r="R10" s="190">
        <v>26516</v>
      </c>
      <c r="S10" s="1"/>
      <c r="T10" s="864">
        <v>115014</v>
      </c>
      <c r="U10" s="843">
        <v>42243</v>
      </c>
      <c r="V10" s="864">
        <v>36773</v>
      </c>
      <c r="W10" s="843">
        <v>1217675</v>
      </c>
      <c r="X10" s="864">
        <v>945929</v>
      </c>
      <c r="Y10" s="843">
        <v>872840</v>
      </c>
      <c r="Z10" s="864">
        <v>788361</v>
      </c>
      <c r="AA10" s="843">
        <v>81562</v>
      </c>
      <c r="AB10" s="864">
        <v>72420</v>
      </c>
      <c r="AC10" s="843">
        <v>99463</v>
      </c>
      <c r="AD10" s="864">
        <v>92409</v>
      </c>
      <c r="AE10" s="843">
        <v>270278</v>
      </c>
      <c r="AF10" s="864">
        <v>231170</v>
      </c>
      <c r="AG10" s="843">
        <v>589584</v>
      </c>
      <c r="AH10" s="864">
        <v>512816</v>
      </c>
      <c r="AI10" s="843">
        <v>208611</v>
      </c>
      <c r="AJ10" s="864">
        <v>177161</v>
      </c>
      <c r="AK10" s="843">
        <v>162956</v>
      </c>
      <c r="AL10" s="864">
        <v>145978</v>
      </c>
      <c r="AM10" s="843"/>
      <c r="AN10" s="889"/>
      <c r="AO10" s="891">
        <v>1351014</v>
      </c>
      <c r="AP10" s="893">
        <v>1118459</v>
      </c>
      <c r="AQ10" s="897">
        <v>49413</v>
      </c>
      <c r="AR10" s="900">
        <v>40279</v>
      </c>
      <c r="AS10" s="846">
        <v>99737</v>
      </c>
      <c r="AT10" s="1024">
        <v>77481</v>
      </c>
      <c r="AU10" s="885">
        <v>235315</v>
      </c>
      <c r="AV10" s="865">
        <v>198546</v>
      </c>
      <c r="AW10" s="843">
        <f t="shared" si="2"/>
        <v>6288724</v>
      </c>
      <c r="AX10" s="864">
        <f t="shared" si="3"/>
        <v>5438624</v>
      </c>
      <c r="AY10" s="845">
        <v>27368495</v>
      </c>
      <c r="AZ10" s="882">
        <v>25260799</v>
      </c>
      <c r="BA10" s="841">
        <f t="shared" si="0"/>
        <v>33657219</v>
      </c>
      <c r="BB10" s="842">
        <f t="shared" si="1"/>
        <v>30699423</v>
      </c>
    </row>
    <row r="11" spans="1:55" ht="17.25" x14ac:dyDescent="0.35">
      <c r="A11" s="350" t="s">
        <v>234</v>
      </c>
      <c r="B11" s="399"/>
      <c r="C11" s="853">
        <v>142363</v>
      </c>
      <c r="D11" s="1243">
        <v>233399</v>
      </c>
      <c r="E11" s="862">
        <v>14955</v>
      </c>
      <c r="F11" s="864">
        <v>20349</v>
      </c>
      <c r="G11" s="843">
        <v>30183</v>
      </c>
      <c r="H11" s="864">
        <v>37414</v>
      </c>
      <c r="I11" s="843">
        <v>302893</v>
      </c>
      <c r="J11" s="864">
        <v>380635</v>
      </c>
      <c r="K11" s="843">
        <v>13267</v>
      </c>
      <c r="L11" s="864">
        <v>39988</v>
      </c>
      <c r="M11" s="843">
        <v>71418</v>
      </c>
      <c r="N11" s="872">
        <v>153513</v>
      </c>
      <c r="O11" s="874">
        <v>1934</v>
      </c>
      <c r="P11" s="864">
        <v>2855</v>
      </c>
      <c r="Q11" s="843">
        <v>20921</v>
      </c>
      <c r="R11" s="190">
        <v>22706</v>
      </c>
      <c r="S11" s="1"/>
      <c r="T11" s="864">
        <v>37987</v>
      </c>
      <c r="U11" s="843">
        <v>5979</v>
      </c>
      <c r="V11" s="864">
        <v>8953</v>
      </c>
      <c r="W11" s="843">
        <v>531848</v>
      </c>
      <c r="X11" s="864">
        <v>761447</v>
      </c>
      <c r="Y11" s="843">
        <v>1065120</v>
      </c>
      <c r="Z11" s="864">
        <v>1544953</v>
      </c>
      <c r="AA11" s="843">
        <v>31135</v>
      </c>
      <c r="AB11" s="864">
        <v>27028</v>
      </c>
      <c r="AC11" s="843">
        <v>70183</v>
      </c>
      <c r="AD11" s="864">
        <v>77740</v>
      </c>
      <c r="AE11" s="843">
        <v>158237</v>
      </c>
      <c r="AF11" s="864">
        <v>178437</v>
      </c>
      <c r="AG11" s="843">
        <v>215603</v>
      </c>
      <c r="AH11" s="864">
        <v>635314</v>
      </c>
      <c r="AI11" s="843">
        <v>89834</v>
      </c>
      <c r="AJ11" s="864">
        <v>109681</v>
      </c>
      <c r="AK11" s="843">
        <v>53967</v>
      </c>
      <c r="AL11" s="864">
        <v>92553</v>
      </c>
      <c r="AM11" s="843"/>
      <c r="AN11" s="889"/>
      <c r="AO11" s="891">
        <v>631027</v>
      </c>
      <c r="AP11" s="893">
        <v>932840</v>
      </c>
      <c r="AQ11" s="897">
        <v>6644</v>
      </c>
      <c r="AR11" s="900">
        <v>10274</v>
      </c>
      <c r="AS11" s="846">
        <v>25982</v>
      </c>
      <c r="AT11" s="1024">
        <v>56207</v>
      </c>
      <c r="AU11" s="885">
        <v>261975</v>
      </c>
      <c r="AV11" s="864">
        <v>374064</v>
      </c>
      <c r="AW11" s="843">
        <f t="shared" si="2"/>
        <v>3745468</v>
      </c>
      <c r="AX11" s="864">
        <f t="shared" si="3"/>
        <v>5738337</v>
      </c>
      <c r="AY11" s="845">
        <v>4946320</v>
      </c>
      <c r="AZ11" s="882">
        <v>4977679</v>
      </c>
      <c r="BA11" s="841">
        <f t="shared" si="0"/>
        <v>8691788</v>
      </c>
      <c r="BB11" s="842">
        <f t="shared" si="1"/>
        <v>10716016</v>
      </c>
    </row>
    <row r="12" spans="1:55" ht="17.25" x14ac:dyDescent="0.35">
      <c r="A12" s="350" t="s">
        <v>235</v>
      </c>
      <c r="B12" s="399"/>
      <c r="C12" s="853">
        <v>-50257</v>
      </c>
      <c r="D12" s="1243">
        <v>-27445</v>
      </c>
      <c r="E12" s="862">
        <v>-5362</v>
      </c>
      <c r="F12" s="864">
        <v>-2971</v>
      </c>
      <c r="G12" s="843">
        <v>-5084</v>
      </c>
      <c r="H12" s="864">
        <v>-3834</v>
      </c>
      <c r="I12" s="843">
        <v>-110192</v>
      </c>
      <c r="J12" s="864">
        <v>-58621</v>
      </c>
      <c r="K12" s="843">
        <v>-3786</v>
      </c>
      <c r="L12" s="864">
        <v>-5950</v>
      </c>
      <c r="M12" s="843">
        <v>-19106</v>
      </c>
      <c r="N12" s="872">
        <v>-17184</v>
      </c>
      <c r="O12" s="874">
        <v>-474</v>
      </c>
      <c r="P12" s="864">
        <v>-486</v>
      </c>
      <c r="Q12" s="843">
        <v>-10436</v>
      </c>
      <c r="R12" s="190">
        <v>-3760</v>
      </c>
      <c r="S12" s="1"/>
      <c r="T12" s="864">
        <v>-2349</v>
      </c>
      <c r="U12" s="843">
        <v>-3130</v>
      </c>
      <c r="V12" s="864">
        <v>-2356</v>
      </c>
      <c r="W12" s="843">
        <v>-99430</v>
      </c>
      <c r="X12" s="864">
        <v>-115722</v>
      </c>
      <c r="Y12" s="843">
        <v>-279676</v>
      </c>
      <c r="Z12" s="864">
        <v>-94226</v>
      </c>
      <c r="AA12" s="843">
        <v>-5431</v>
      </c>
      <c r="AB12" s="864">
        <v>-1912</v>
      </c>
      <c r="AC12" s="843">
        <v>-23035</v>
      </c>
      <c r="AD12" s="864">
        <v>-9945</v>
      </c>
      <c r="AE12" s="843">
        <v>-51788</v>
      </c>
      <c r="AF12" s="864">
        <v>-33043</v>
      </c>
      <c r="AG12" s="843">
        <v>-215826</v>
      </c>
      <c r="AH12" s="864">
        <v>-181986</v>
      </c>
      <c r="AI12" s="843">
        <v>-20718</v>
      </c>
      <c r="AJ12" s="864">
        <v>-17715</v>
      </c>
      <c r="AK12" s="843">
        <v>-21614</v>
      </c>
      <c r="AL12" s="864">
        <v>-12608</v>
      </c>
      <c r="AM12" s="843"/>
      <c r="AN12" s="889"/>
      <c r="AO12" s="891">
        <v>-280231</v>
      </c>
      <c r="AP12" s="893">
        <v>-120712</v>
      </c>
      <c r="AQ12" s="897">
        <v>-3340</v>
      </c>
      <c r="AR12" s="900">
        <v>-927</v>
      </c>
      <c r="AS12" s="846">
        <v>-13913</v>
      </c>
      <c r="AT12" s="1024">
        <v>-9291</v>
      </c>
      <c r="AU12" s="885">
        <v>-103944</v>
      </c>
      <c r="AV12" s="864">
        <v>-39457</v>
      </c>
      <c r="AW12" s="843">
        <f t="shared" si="2"/>
        <v>-1326773</v>
      </c>
      <c r="AX12" s="864">
        <f t="shared" si="3"/>
        <v>-762500</v>
      </c>
      <c r="AY12" s="845">
        <v>-1482386</v>
      </c>
      <c r="AZ12" s="882">
        <v>-937690</v>
      </c>
      <c r="BA12" s="841">
        <f t="shared" si="0"/>
        <v>-2809159</v>
      </c>
      <c r="BB12" s="842">
        <f t="shared" si="1"/>
        <v>-1700190</v>
      </c>
    </row>
    <row r="13" spans="1:55" ht="17.25" x14ac:dyDescent="0.35">
      <c r="A13" s="350" t="s">
        <v>236</v>
      </c>
      <c r="B13" s="399"/>
      <c r="C13" s="853">
        <v>-105008</v>
      </c>
      <c r="D13" s="1243">
        <v>25429</v>
      </c>
      <c r="E13" s="862">
        <v>-4248</v>
      </c>
      <c r="F13" s="864">
        <v>-2632</v>
      </c>
      <c r="G13" s="843">
        <v>-24671</v>
      </c>
      <c r="H13" s="864">
        <v>14752</v>
      </c>
      <c r="I13" s="843">
        <v>-158511</v>
      </c>
      <c r="J13" s="864">
        <v>109269</v>
      </c>
      <c r="K13" s="843">
        <v>-4729</v>
      </c>
      <c r="L13" s="864">
        <v>-744</v>
      </c>
      <c r="M13" s="843">
        <v>-57825</v>
      </c>
      <c r="N13" s="872">
        <v>11996</v>
      </c>
      <c r="O13" s="874">
        <v>-1527</v>
      </c>
      <c r="P13" s="864">
        <v>2071</v>
      </c>
      <c r="Q13" s="843">
        <v>-11143</v>
      </c>
      <c r="R13" s="190">
        <v>2839</v>
      </c>
      <c r="S13" s="1"/>
      <c r="T13" s="864">
        <v>-4847</v>
      </c>
      <c r="U13" s="843">
        <v>-2942</v>
      </c>
      <c r="V13" s="864">
        <v>-1390</v>
      </c>
      <c r="W13" s="843">
        <v>-455541</v>
      </c>
      <c r="X13" s="864">
        <v>329941</v>
      </c>
      <c r="Y13" s="843">
        <v>-735582</v>
      </c>
      <c r="Z13" s="864">
        <v>219680</v>
      </c>
      <c r="AA13" s="843">
        <v>-31429</v>
      </c>
      <c r="AB13" s="864">
        <v>20174</v>
      </c>
      <c r="AC13" s="843">
        <v>-28149</v>
      </c>
      <c r="AD13" s="864">
        <v>13677</v>
      </c>
      <c r="AE13" s="843">
        <v>-119693</v>
      </c>
      <c r="AF13" s="864">
        <v>63256</v>
      </c>
      <c r="AG13" s="843">
        <v>-9267</v>
      </c>
      <c r="AH13" s="864">
        <v>-97963</v>
      </c>
      <c r="AI13" s="843">
        <v>-74727</v>
      </c>
      <c r="AJ13" s="864">
        <v>31449</v>
      </c>
      <c r="AK13" s="843">
        <v>-29247</v>
      </c>
      <c r="AL13" s="864">
        <v>6349</v>
      </c>
      <c r="AM13" s="843"/>
      <c r="AN13" s="889"/>
      <c r="AO13" s="891">
        <v>-423205</v>
      </c>
      <c r="AP13" s="893">
        <v>426340</v>
      </c>
      <c r="AQ13" s="897">
        <v>-79</v>
      </c>
      <c r="AR13" s="900"/>
      <c r="AS13" s="846">
        <v>-9860</v>
      </c>
      <c r="AT13" s="1024">
        <v>-10071</v>
      </c>
      <c r="AU13" s="885">
        <v>-107197</v>
      </c>
      <c r="AV13" s="864">
        <v>-67158</v>
      </c>
      <c r="AW13" s="843">
        <f t="shared" si="2"/>
        <v>-2394580</v>
      </c>
      <c r="AX13" s="864">
        <f t="shared" si="3"/>
        <v>1092417</v>
      </c>
      <c r="AY13" s="845">
        <v>-193416</v>
      </c>
      <c r="AZ13" s="882">
        <v>-11342</v>
      </c>
      <c r="BA13" s="841">
        <f t="shared" si="0"/>
        <v>-2587996</v>
      </c>
      <c r="BB13" s="842">
        <f t="shared" si="1"/>
        <v>1081075</v>
      </c>
    </row>
    <row r="14" spans="1:55" ht="17.25" x14ac:dyDescent="0.35">
      <c r="A14" s="350" t="s">
        <v>237</v>
      </c>
      <c r="B14" s="399"/>
      <c r="C14" s="853">
        <v>36428</v>
      </c>
      <c r="D14" s="1244">
        <v>14969</v>
      </c>
      <c r="E14" s="863">
        <v>3011</v>
      </c>
      <c r="F14" s="865">
        <v>2432</v>
      </c>
      <c r="G14" s="845"/>
      <c r="H14" s="865"/>
      <c r="I14" s="845">
        <v>31733</v>
      </c>
      <c r="J14" s="865">
        <v>13874</v>
      </c>
      <c r="K14" s="845">
        <v>5706</v>
      </c>
      <c r="L14" s="865">
        <v>1147</v>
      </c>
      <c r="M14" s="845">
        <v>15383</v>
      </c>
      <c r="N14" s="873">
        <v>8850</v>
      </c>
      <c r="O14" s="875">
        <v>-460</v>
      </c>
      <c r="P14" s="865">
        <v>-931</v>
      </c>
      <c r="Q14" s="845">
        <v>5666</v>
      </c>
      <c r="R14" s="84"/>
      <c r="S14" s="6"/>
      <c r="T14" s="865">
        <v>-355</v>
      </c>
      <c r="U14" s="845">
        <v>1621</v>
      </c>
      <c r="V14" s="865">
        <v>301</v>
      </c>
      <c r="W14" s="845"/>
      <c r="X14" s="865"/>
      <c r="Y14" s="845">
        <v>73756</v>
      </c>
      <c r="Z14" s="865">
        <v>38186</v>
      </c>
      <c r="AA14" s="845">
        <v>3709</v>
      </c>
      <c r="AB14" s="881">
        <v>683</v>
      </c>
      <c r="AC14" s="884">
        <v>7130</v>
      </c>
      <c r="AD14" s="865">
        <v>-967</v>
      </c>
      <c r="AE14" s="845">
        <v>19106</v>
      </c>
      <c r="AF14" s="887">
        <v>6050</v>
      </c>
      <c r="AG14" s="888">
        <v>29270</v>
      </c>
      <c r="AH14" s="865">
        <v>7972</v>
      </c>
      <c r="AI14" s="845">
        <v>10849</v>
      </c>
      <c r="AJ14" s="865">
        <v>3300</v>
      </c>
      <c r="AK14" s="845">
        <v>7540</v>
      </c>
      <c r="AL14" s="865">
        <v>2984</v>
      </c>
      <c r="AM14" s="845"/>
      <c r="AN14" s="889"/>
      <c r="AO14" s="891">
        <v>47409</v>
      </c>
      <c r="AP14" s="893">
        <v>-132</v>
      </c>
      <c r="AQ14" s="897">
        <v>-1786</v>
      </c>
      <c r="AR14" s="900">
        <v>1924</v>
      </c>
      <c r="AS14" s="846">
        <v>11073</v>
      </c>
      <c r="AT14" s="1024"/>
      <c r="AU14" s="885">
        <v>68068</v>
      </c>
      <c r="AV14" s="865">
        <v>27211</v>
      </c>
      <c r="AW14" s="843">
        <f t="shared" si="2"/>
        <v>375212</v>
      </c>
      <c r="AX14" s="864">
        <f t="shared" si="3"/>
        <v>127498</v>
      </c>
      <c r="AY14" s="845"/>
      <c r="AZ14" s="865"/>
      <c r="BA14" s="841">
        <f t="shared" si="0"/>
        <v>375212</v>
      </c>
      <c r="BB14" s="842">
        <f t="shared" si="1"/>
        <v>127498</v>
      </c>
    </row>
    <row r="15" spans="1:55" ht="17.25" x14ac:dyDescent="0.35">
      <c r="A15" s="350" t="s">
        <v>297</v>
      </c>
      <c r="B15" s="399"/>
      <c r="C15" s="853"/>
      <c r="D15" s="1244"/>
      <c r="E15" s="863"/>
      <c r="F15" s="865"/>
      <c r="G15" s="845"/>
      <c r="H15" s="865"/>
      <c r="I15" s="845"/>
      <c r="J15" s="865"/>
      <c r="K15" s="845"/>
      <c r="L15" s="865"/>
      <c r="M15" s="845"/>
      <c r="N15" s="873"/>
      <c r="O15" s="875"/>
      <c r="P15" s="865"/>
      <c r="Q15" s="845"/>
      <c r="R15" s="84"/>
      <c r="S15" s="6"/>
      <c r="T15" s="865"/>
      <c r="U15" s="845">
        <v>843</v>
      </c>
      <c r="V15" s="865">
        <v>585</v>
      </c>
      <c r="W15" s="845"/>
      <c r="X15" s="865"/>
      <c r="Y15" s="845"/>
      <c r="Z15" s="865"/>
      <c r="AA15" s="845"/>
      <c r="AB15" s="881"/>
      <c r="AC15" s="884"/>
      <c r="AD15" s="865"/>
      <c r="AE15" s="845"/>
      <c r="AF15" s="887"/>
      <c r="AG15" s="888">
        <v>6882</v>
      </c>
      <c r="AH15" s="865">
        <v>5160</v>
      </c>
      <c r="AI15" s="845"/>
      <c r="AJ15" s="865"/>
      <c r="AK15" s="845"/>
      <c r="AL15" s="865">
        <v>1535</v>
      </c>
      <c r="AM15" s="845"/>
      <c r="AN15" s="889"/>
      <c r="AO15" s="891"/>
      <c r="AP15" s="893"/>
      <c r="AQ15" s="897">
        <v>1388</v>
      </c>
      <c r="AR15" s="900">
        <v>-580</v>
      </c>
      <c r="AS15" s="846"/>
      <c r="AT15" s="1024">
        <v>4728</v>
      </c>
      <c r="AU15" s="885"/>
      <c r="AV15" s="865"/>
      <c r="AW15" s="843">
        <f t="shared" si="2"/>
        <v>9113</v>
      </c>
      <c r="AX15" s="864">
        <f t="shared" si="3"/>
        <v>11428</v>
      </c>
      <c r="AY15" s="845"/>
      <c r="AZ15" s="865"/>
      <c r="BA15" s="841">
        <f t="shared" si="0"/>
        <v>9113</v>
      </c>
      <c r="BB15" s="842">
        <f t="shared" si="1"/>
        <v>11428</v>
      </c>
    </row>
    <row r="16" spans="1:55" ht="17.25" x14ac:dyDescent="0.35">
      <c r="A16" s="395" t="s">
        <v>238</v>
      </c>
      <c r="B16" s="399"/>
      <c r="C16" s="853"/>
      <c r="D16" s="1243"/>
      <c r="E16" s="862"/>
      <c r="F16" s="864"/>
      <c r="G16" s="843"/>
      <c r="H16" s="864"/>
      <c r="I16" s="843"/>
      <c r="J16" s="864"/>
      <c r="K16" s="843"/>
      <c r="L16" s="864"/>
      <c r="M16" s="843"/>
      <c r="N16" s="872"/>
      <c r="O16" s="874"/>
      <c r="P16" s="864"/>
      <c r="Q16" s="843"/>
      <c r="R16" s="190"/>
      <c r="S16" s="1"/>
      <c r="T16" s="864"/>
      <c r="U16" s="843"/>
      <c r="V16" s="864"/>
      <c r="W16" s="843"/>
      <c r="X16" s="864"/>
      <c r="Y16" s="843"/>
      <c r="Z16" s="864"/>
      <c r="AA16" s="843"/>
      <c r="AB16" s="881"/>
      <c r="AC16" s="884"/>
      <c r="AD16" s="864"/>
      <c r="AE16" s="843"/>
      <c r="AF16" s="864"/>
      <c r="AG16" s="843"/>
      <c r="AH16" s="864"/>
      <c r="AI16" s="843"/>
      <c r="AJ16" s="864"/>
      <c r="AK16" s="843"/>
      <c r="AL16" s="864"/>
      <c r="AM16" s="843"/>
      <c r="AN16" s="889"/>
      <c r="AO16" s="891"/>
      <c r="AP16" s="894"/>
      <c r="AQ16" s="853"/>
      <c r="AR16" s="900"/>
      <c r="AS16" s="846"/>
      <c r="AT16" s="1024"/>
      <c r="AU16" s="885"/>
      <c r="AV16" s="864"/>
      <c r="AW16" s="843">
        <f t="shared" si="2"/>
        <v>0</v>
      </c>
      <c r="AX16" s="864">
        <f t="shared" si="3"/>
        <v>0</v>
      </c>
      <c r="AY16" s="845"/>
      <c r="AZ16" s="864"/>
      <c r="BA16" s="841">
        <f t="shared" si="0"/>
        <v>0</v>
      </c>
      <c r="BB16" s="842">
        <f t="shared" si="1"/>
        <v>0</v>
      </c>
    </row>
    <row r="17" spans="1:54" ht="17.25" x14ac:dyDescent="0.35">
      <c r="A17" s="350" t="s">
        <v>239</v>
      </c>
      <c r="B17" s="399"/>
      <c r="C17" s="853">
        <v>28472</v>
      </c>
      <c r="D17" s="1243">
        <v>7703</v>
      </c>
      <c r="E17" s="862">
        <v>11011</v>
      </c>
      <c r="F17" s="864">
        <v>8429</v>
      </c>
      <c r="G17" s="843">
        <f>88+370+15162</f>
        <v>15620</v>
      </c>
      <c r="H17" s="864"/>
      <c r="I17" s="843">
        <v>28189</v>
      </c>
      <c r="J17" s="864"/>
      <c r="K17" s="843">
        <f>9506+20974</f>
        <v>30480</v>
      </c>
      <c r="L17" s="864"/>
      <c r="M17" s="843">
        <v>640</v>
      </c>
      <c r="N17" s="872">
        <v>412</v>
      </c>
      <c r="O17" s="874">
        <f>4149+1600</f>
        <v>5749</v>
      </c>
      <c r="P17" s="864"/>
      <c r="Q17" s="843">
        <f>15433+12278</f>
        <v>27711</v>
      </c>
      <c r="R17" s="190">
        <f>17132+9309</f>
        <v>26441</v>
      </c>
      <c r="S17" s="1"/>
      <c r="T17" s="864">
        <v>12167</v>
      </c>
      <c r="U17" s="843">
        <f>18689+2492</f>
        <v>21181</v>
      </c>
      <c r="V17" s="864">
        <v>15848</v>
      </c>
      <c r="W17" s="843">
        <v>86658</v>
      </c>
      <c r="X17" s="864">
        <v>56943</v>
      </c>
      <c r="Y17" s="843">
        <f>26560+153683</f>
        <v>180243</v>
      </c>
      <c r="Z17" s="864">
        <f>21450+194661</f>
        <v>216111</v>
      </c>
      <c r="AA17" s="843">
        <v>118</v>
      </c>
      <c r="AB17" s="881">
        <v>134</v>
      </c>
      <c r="AC17" s="884">
        <f>710+26782</f>
        <v>27492</v>
      </c>
      <c r="AD17" s="864"/>
      <c r="AE17" s="843">
        <v>4500</v>
      </c>
      <c r="AF17" s="864">
        <v>267</v>
      </c>
      <c r="AG17" s="843">
        <v>1043</v>
      </c>
      <c r="AH17" s="864">
        <v>1557</v>
      </c>
      <c r="AI17" s="843">
        <f>869+5758</f>
        <v>6627</v>
      </c>
      <c r="AJ17" s="864">
        <v>250</v>
      </c>
      <c r="AK17" s="843"/>
      <c r="AL17" s="864"/>
      <c r="AM17" s="843"/>
      <c r="AN17" s="889"/>
      <c r="AO17" s="891">
        <v>170749</v>
      </c>
      <c r="AP17" s="894">
        <v>98215</v>
      </c>
      <c r="AQ17" s="853"/>
      <c r="AR17" s="900"/>
      <c r="AS17" s="846">
        <v>472</v>
      </c>
      <c r="AT17" s="1024">
        <v>461</v>
      </c>
      <c r="AU17" s="885">
        <f>11634+105168</f>
        <v>116802</v>
      </c>
      <c r="AV17" s="864">
        <f>56018+4009</f>
        <v>60027</v>
      </c>
      <c r="AW17" s="843">
        <f t="shared" si="2"/>
        <v>763757</v>
      </c>
      <c r="AX17" s="864">
        <f t="shared" si="3"/>
        <v>504965</v>
      </c>
      <c r="AY17" s="845">
        <v>936</v>
      </c>
      <c r="AZ17" s="864">
        <v>942</v>
      </c>
      <c r="BA17" s="841">
        <f t="shared" si="0"/>
        <v>764693</v>
      </c>
      <c r="BB17" s="842">
        <f t="shared" si="1"/>
        <v>505907</v>
      </c>
    </row>
    <row r="18" spans="1:54" ht="17.25" x14ac:dyDescent="0.35">
      <c r="A18" s="350" t="s">
        <v>240</v>
      </c>
      <c r="B18" s="399"/>
      <c r="C18" s="853"/>
      <c r="D18" s="1243"/>
      <c r="E18" s="862"/>
      <c r="F18" s="864">
        <v>27</v>
      </c>
      <c r="G18" s="843"/>
      <c r="H18" s="864"/>
      <c r="I18" s="843">
        <v>1629</v>
      </c>
      <c r="J18" s="864"/>
      <c r="K18" s="843">
        <v>567</v>
      </c>
      <c r="L18" s="864"/>
      <c r="M18" s="843"/>
      <c r="N18" s="872"/>
      <c r="O18" s="874"/>
      <c r="P18" s="864"/>
      <c r="Q18" s="843">
        <v>19</v>
      </c>
      <c r="R18" s="190">
        <v>10</v>
      </c>
      <c r="S18" s="1"/>
      <c r="T18" s="864"/>
      <c r="U18" s="843"/>
      <c r="V18" s="864"/>
      <c r="W18" s="843">
        <v>3189</v>
      </c>
      <c r="X18" s="864">
        <v>2729</v>
      </c>
      <c r="Y18" s="843">
        <v>5186</v>
      </c>
      <c r="Z18" s="864">
        <v>4109</v>
      </c>
      <c r="AA18" s="843"/>
      <c r="AB18" s="881"/>
      <c r="AC18" s="884"/>
      <c r="AD18" s="864"/>
      <c r="AE18" s="843">
        <v>257</v>
      </c>
      <c r="AF18" s="864">
        <v>173</v>
      </c>
      <c r="AG18" s="843"/>
      <c r="AH18" s="864"/>
      <c r="AI18" s="843"/>
      <c r="AJ18" s="864"/>
      <c r="AK18" s="843">
        <v>9735</v>
      </c>
      <c r="AL18" s="864">
        <v>8456</v>
      </c>
      <c r="AM18" s="843"/>
      <c r="AN18" s="889"/>
      <c r="AO18" s="891">
        <v>1484</v>
      </c>
      <c r="AP18" s="893">
        <v>1206</v>
      </c>
      <c r="AQ18" s="897"/>
      <c r="AR18" s="900"/>
      <c r="AS18" s="846"/>
      <c r="AT18" s="1024"/>
      <c r="AU18" s="885"/>
      <c r="AV18" s="864"/>
      <c r="AW18" s="843">
        <f t="shared" si="2"/>
        <v>22066</v>
      </c>
      <c r="AX18" s="864">
        <f t="shared" si="3"/>
        <v>16710</v>
      </c>
      <c r="AY18" s="845"/>
      <c r="AZ18" s="864"/>
      <c r="BA18" s="841">
        <f t="shared" si="0"/>
        <v>22066</v>
      </c>
      <c r="BB18" s="842">
        <f t="shared" si="1"/>
        <v>16710</v>
      </c>
    </row>
    <row r="19" spans="1:54" ht="17.25" x14ac:dyDescent="0.35">
      <c r="A19" s="350" t="s">
        <v>241</v>
      </c>
      <c r="B19" s="399"/>
      <c r="C19" s="853">
        <f>5+5616</f>
        <v>5621</v>
      </c>
      <c r="D19" s="1243">
        <v>5202</v>
      </c>
      <c r="E19" s="862">
        <f>144</f>
        <v>144</v>
      </c>
      <c r="F19" s="864">
        <v>3</v>
      </c>
      <c r="G19" s="843">
        <v>227</v>
      </c>
      <c r="H19" s="864"/>
      <c r="I19" s="843">
        <v>6973</v>
      </c>
      <c r="J19" s="864"/>
      <c r="K19" s="843">
        <v>414</v>
      </c>
      <c r="L19" s="864"/>
      <c r="M19" s="843">
        <v>492</v>
      </c>
      <c r="N19" s="872">
        <v>415</v>
      </c>
      <c r="O19" s="874">
        <f>844+183</f>
        <v>1027</v>
      </c>
      <c r="P19" s="864"/>
      <c r="Q19" s="843">
        <v>345</v>
      </c>
      <c r="R19" s="190">
        <v>347</v>
      </c>
      <c r="S19" s="1"/>
      <c r="T19" s="864">
        <v>4965</v>
      </c>
      <c r="U19" s="843"/>
      <c r="V19" s="864">
        <v>3666</v>
      </c>
      <c r="W19" s="843">
        <v>40166</v>
      </c>
      <c r="X19" s="864">
        <v>14926</v>
      </c>
      <c r="Y19" s="843">
        <f>9911+62</f>
        <v>9973</v>
      </c>
      <c r="Z19" s="864">
        <f>6708+442</f>
        <v>7150</v>
      </c>
      <c r="AA19" s="843">
        <v>58</v>
      </c>
      <c r="AB19" s="881"/>
      <c r="AC19" s="884">
        <v>798</v>
      </c>
      <c r="AD19" s="864">
        <f>658+47+48389</f>
        <v>49094</v>
      </c>
      <c r="AE19" s="843">
        <f>136+96</f>
        <v>232</v>
      </c>
      <c r="AF19" s="864">
        <v>48</v>
      </c>
      <c r="AG19" s="843"/>
      <c r="AH19" s="864"/>
      <c r="AI19" s="843">
        <f>1964+403</f>
        <v>2367</v>
      </c>
      <c r="AJ19" s="864">
        <f>1258+234</f>
        <v>1492</v>
      </c>
      <c r="AK19" s="843">
        <v>2630</v>
      </c>
      <c r="AL19" s="864">
        <v>10672</v>
      </c>
      <c r="AM19" s="843"/>
      <c r="AN19" s="889"/>
      <c r="AO19" s="891">
        <v>3502</v>
      </c>
      <c r="AP19" s="893">
        <v>3275</v>
      </c>
      <c r="AQ19" s="897">
        <f>953+1108+379</f>
        <v>2440</v>
      </c>
      <c r="AR19" s="900">
        <f>271+759+257</f>
        <v>1287</v>
      </c>
      <c r="AS19" s="846">
        <v>437</v>
      </c>
      <c r="AT19" s="1024">
        <v>361</v>
      </c>
      <c r="AU19" s="885">
        <f>6856+737+3608+10</f>
        <v>11211</v>
      </c>
      <c r="AV19" s="864">
        <f>433+3454-9+62+5275</f>
        <v>9215</v>
      </c>
      <c r="AW19" s="843">
        <f t="shared" si="2"/>
        <v>89057</v>
      </c>
      <c r="AX19" s="864">
        <f t="shared" si="3"/>
        <v>112118</v>
      </c>
      <c r="AY19" s="845">
        <v>764853</v>
      </c>
      <c r="AZ19" s="864">
        <v>77947</v>
      </c>
      <c r="BA19" s="841">
        <f t="shared" si="0"/>
        <v>853910</v>
      </c>
      <c r="BB19" s="842">
        <f t="shared" si="1"/>
        <v>190065</v>
      </c>
    </row>
    <row r="20" spans="1:54" s="1364" customFormat="1" ht="14.25" x14ac:dyDescent="0.3">
      <c r="A20" s="1344" t="s">
        <v>20</v>
      </c>
      <c r="B20" s="1345"/>
      <c r="C20" s="1346">
        <v>1833797</v>
      </c>
      <c r="D20" s="1347">
        <v>1707250</v>
      </c>
      <c r="E20" s="1348">
        <v>68453</v>
      </c>
      <c r="F20" s="1341">
        <v>76078</v>
      </c>
      <c r="G20" s="1342">
        <v>213503</v>
      </c>
      <c r="H20" s="1341"/>
      <c r="I20" s="1342">
        <v>2349413</v>
      </c>
      <c r="J20" s="1341"/>
      <c r="K20" s="1342">
        <v>396892</v>
      </c>
      <c r="L20" s="1341"/>
      <c r="M20" s="1342">
        <v>835448</v>
      </c>
      <c r="N20" s="1341">
        <v>841179</v>
      </c>
      <c r="O20" s="1342">
        <v>191795</v>
      </c>
      <c r="P20" s="1341"/>
      <c r="Q20" s="1342">
        <v>227992</v>
      </c>
      <c r="R20" s="519">
        <v>26798</v>
      </c>
      <c r="S20" s="1343"/>
      <c r="T20" s="1341">
        <v>525965</v>
      </c>
      <c r="U20" s="1342">
        <v>232576</v>
      </c>
      <c r="V20" s="1341">
        <v>200007</v>
      </c>
      <c r="W20" s="1342">
        <v>6852132</v>
      </c>
      <c r="X20" s="1341">
        <v>6535839</v>
      </c>
      <c r="Y20" s="1342">
        <v>5047813</v>
      </c>
      <c r="Z20" s="1341">
        <v>6356451</v>
      </c>
      <c r="AA20" s="1342">
        <v>305869</v>
      </c>
      <c r="AB20" s="1349">
        <v>337058</v>
      </c>
      <c r="AC20" s="1350">
        <v>751248</v>
      </c>
      <c r="AD20" s="1341">
        <v>720530</v>
      </c>
      <c r="AE20" s="1342">
        <v>1782974</v>
      </c>
      <c r="AF20" s="1341">
        <v>1724121</v>
      </c>
      <c r="AG20" s="1342">
        <v>3105472</v>
      </c>
      <c r="AH20" s="1341">
        <v>3081567</v>
      </c>
      <c r="AI20" s="1342">
        <v>1056237</v>
      </c>
      <c r="AJ20" s="1341">
        <v>1023953</v>
      </c>
      <c r="AK20" s="1342">
        <v>697435</v>
      </c>
      <c r="AL20" s="1341">
        <v>755892</v>
      </c>
      <c r="AM20" s="1342"/>
      <c r="AN20" s="1351"/>
      <c r="AO20" s="1352">
        <v>8159848</v>
      </c>
      <c r="AP20" s="1353">
        <v>2459491</v>
      </c>
      <c r="AQ20" s="1354">
        <v>308568</v>
      </c>
      <c r="AR20" s="1355">
        <v>286273</v>
      </c>
      <c r="AS20" s="1356">
        <v>663146</v>
      </c>
      <c r="AT20" s="1357">
        <v>511495</v>
      </c>
      <c r="AU20" s="1358">
        <v>2479764</v>
      </c>
      <c r="AV20" s="1341">
        <v>1969523</v>
      </c>
      <c r="AW20" s="1359">
        <f t="shared" si="2"/>
        <v>37560375</v>
      </c>
      <c r="AX20" s="1360">
        <f t="shared" si="3"/>
        <v>29139470</v>
      </c>
      <c r="AY20" s="1342">
        <v>78805264</v>
      </c>
      <c r="AZ20" s="1361">
        <v>72110256</v>
      </c>
      <c r="BA20" s="1362">
        <f t="shared" si="0"/>
        <v>116365639</v>
      </c>
      <c r="BB20" s="1363">
        <f t="shared" si="1"/>
        <v>101249726</v>
      </c>
    </row>
    <row r="21" spans="1:54" ht="17.25" x14ac:dyDescent="0.35">
      <c r="A21" s="350" t="s">
        <v>59</v>
      </c>
      <c r="B21" s="395" t="s">
        <v>242</v>
      </c>
      <c r="C21" s="854">
        <v>84360</v>
      </c>
      <c r="D21" s="1243">
        <v>59624</v>
      </c>
      <c r="E21" s="862">
        <v>159</v>
      </c>
      <c r="F21" s="864">
        <v>294</v>
      </c>
      <c r="G21" s="843">
        <v>3521</v>
      </c>
      <c r="H21" s="864"/>
      <c r="I21" s="843">
        <v>120667</v>
      </c>
      <c r="J21" s="864"/>
      <c r="K21" s="843">
        <v>18828</v>
      </c>
      <c r="L21" s="864">
        <v>16808</v>
      </c>
      <c r="M21" s="843">
        <v>41355</v>
      </c>
      <c r="N21" s="872">
        <v>35920</v>
      </c>
      <c r="O21" s="874">
        <v>6024</v>
      </c>
      <c r="P21" s="864"/>
      <c r="Q21" s="843">
        <v>13616</v>
      </c>
      <c r="R21" s="190">
        <v>10727</v>
      </c>
      <c r="S21" s="1"/>
      <c r="T21" s="864">
        <v>18447</v>
      </c>
      <c r="U21" s="843">
        <v>6574</v>
      </c>
      <c r="V21" s="864">
        <v>4661</v>
      </c>
      <c r="W21" s="843">
        <v>271018</v>
      </c>
      <c r="X21" s="864">
        <v>194029</v>
      </c>
      <c r="Y21" s="843">
        <v>186389</v>
      </c>
      <c r="Z21" s="864">
        <v>167291</v>
      </c>
      <c r="AA21" s="843">
        <v>10806</v>
      </c>
      <c r="AB21" s="881">
        <v>8191</v>
      </c>
      <c r="AC21" s="884">
        <v>31043</v>
      </c>
      <c r="AD21" s="864">
        <v>25371</v>
      </c>
      <c r="AE21" s="843">
        <v>81421</v>
      </c>
      <c r="AF21" s="864">
        <v>59028</v>
      </c>
      <c r="AG21" s="843">
        <v>161384</v>
      </c>
      <c r="AH21" s="864">
        <v>140281</v>
      </c>
      <c r="AI21" s="843">
        <v>51945</v>
      </c>
      <c r="AJ21" s="864">
        <v>40678</v>
      </c>
      <c r="AK21" s="843">
        <v>16413</v>
      </c>
      <c r="AL21" s="864">
        <v>15480</v>
      </c>
      <c r="AM21" s="843"/>
      <c r="AN21" s="889"/>
      <c r="AO21" s="891">
        <v>306249</v>
      </c>
      <c r="AP21" s="893">
        <v>215829</v>
      </c>
      <c r="AQ21" s="897">
        <v>15042</v>
      </c>
      <c r="AR21" s="900">
        <v>12764</v>
      </c>
      <c r="AS21" s="846">
        <v>29877</v>
      </c>
      <c r="AT21" s="1024">
        <v>23780</v>
      </c>
      <c r="AU21" s="885">
        <v>199621</v>
      </c>
      <c r="AV21" s="864">
        <v>132155</v>
      </c>
      <c r="AW21" s="843">
        <f t="shared" si="2"/>
        <v>1656312</v>
      </c>
      <c r="AX21" s="864">
        <f t="shared" si="3"/>
        <v>1181358</v>
      </c>
      <c r="AY21" s="845">
        <v>2558038</v>
      </c>
      <c r="AZ21" s="882">
        <v>2317145</v>
      </c>
      <c r="BA21" s="841">
        <f t="shared" si="0"/>
        <v>4214350</v>
      </c>
      <c r="BB21" s="842">
        <f t="shared" si="1"/>
        <v>3498503</v>
      </c>
    </row>
    <row r="22" spans="1:54" ht="17.25" x14ac:dyDescent="0.35">
      <c r="A22" s="350" t="s">
        <v>243</v>
      </c>
      <c r="B22" s="395" t="s">
        <v>244</v>
      </c>
      <c r="C22" s="854">
        <v>209648</v>
      </c>
      <c r="D22" s="1243">
        <v>152089</v>
      </c>
      <c r="E22" s="862">
        <v>16313</v>
      </c>
      <c r="F22" s="864">
        <v>16260</v>
      </c>
      <c r="G22" s="843">
        <v>27339</v>
      </c>
      <c r="H22" s="864"/>
      <c r="I22" s="843">
        <v>389340</v>
      </c>
      <c r="J22" s="864"/>
      <c r="K22" s="843">
        <v>2217</v>
      </c>
      <c r="L22" s="864">
        <v>87179</v>
      </c>
      <c r="M22" s="843">
        <v>83619</v>
      </c>
      <c r="N22" s="872">
        <v>69730</v>
      </c>
      <c r="O22" s="874">
        <v>32027</v>
      </c>
      <c r="P22" s="864"/>
      <c r="Q22" s="843">
        <v>57812</v>
      </c>
      <c r="R22" s="190">
        <v>53891</v>
      </c>
      <c r="S22" s="1"/>
      <c r="T22" s="864">
        <v>74328</v>
      </c>
      <c r="U22" s="843">
        <v>59274</v>
      </c>
      <c r="V22" s="864">
        <v>51340</v>
      </c>
      <c r="W22" s="843">
        <v>811986</v>
      </c>
      <c r="X22" s="864">
        <v>561250</v>
      </c>
      <c r="Y22" s="843">
        <v>458323</v>
      </c>
      <c r="Z22" s="864">
        <v>367295</v>
      </c>
      <c r="AA22" s="843">
        <v>35831</v>
      </c>
      <c r="AB22" s="881">
        <v>26652</v>
      </c>
      <c r="AC22" s="884">
        <v>84425</v>
      </c>
      <c r="AD22" s="864">
        <v>70427</v>
      </c>
      <c r="AE22" s="843">
        <v>204583</v>
      </c>
      <c r="AF22" s="864">
        <v>164847</v>
      </c>
      <c r="AG22" s="843">
        <v>358082</v>
      </c>
      <c r="AH22" s="864">
        <v>301923</v>
      </c>
      <c r="AI22" s="843">
        <v>145177</v>
      </c>
      <c r="AJ22" s="864">
        <v>120892</v>
      </c>
      <c r="AK22" s="843">
        <v>116012</v>
      </c>
      <c r="AL22" s="864">
        <v>107182</v>
      </c>
      <c r="AM22" s="843"/>
      <c r="AN22" s="889"/>
      <c r="AO22" s="891">
        <v>340947</v>
      </c>
      <c r="AP22" s="893">
        <v>297445</v>
      </c>
      <c r="AQ22" s="897">
        <v>57721</v>
      </c>
      <c r="AR22" s="900">
        <v>51305</v>
      </c>
      <c r="AS22" s="846">
        <v>75964</v>
      </c>
      <c r="AT22" s="1024">
        <v>47518</v>
      </c>
      <c r="AU22" s="885">
        <v>437642</v>
      </c>
      <c r="AV22" s="864">
        <v>291516</v>
      </c>
      <c r="AW22" s="843">
        <f t="shared" si="2"/>
        <v>4004282</v>
      </c>
      <c r="AX22" s="864">
        <f t="shared" si="3"/>
        <v>2913069</v>
      </c>
      <c r="AY22" s="845">
        <v>4814560</v>
      </c>
      <c r="AZ22" s="882">
        <v>3889067</v>
      </c>
      <c r="BA22" s="841">
        <f t="shared" si="0"/>
        <v>8818842</v>
      </c>
      <c r="BB22" s="842">
        <f t="shared" si="1"/>
        <v>6802136</v>
      </c>
    </row>
    <row r="23" spans="1:54" ht="17.25" x14ac:dyDescent="0.35">
      <c r="A23" s="350" t="s">
        <v>290</v>
      </c>
      <c r="B23" s="395"/>
      <c r="C23" s="854"/>
      <c r="D23" s="1243"/>
      <c r="E23" s="862"/>
      <c r="F23" s="864"/>
      <c r="G23" s="843"/>
      <c r="H23" s="864"/>
      <c r="I23" s="843"/>
      <c r="J23" s="864"/>
      <c r="K23" s="843"/>
      <c r="L23" s="864"/>
      <c r="M23" s="843"/>
      <c r="N23" s="872"/>
      <c r="O23" s="874"/>
      <c r="P23" s="864"/>
      <c r="Q23" s="843"/>
      <c r="R23" s="190"/>
      <c r="S23" s="1"/>
      <c r="T23" s="864"/>
      <c r="U23" s="843"/>
      <c r="V23" s="864"/>
      <c r="W23" s="843"/>
      <c r="X23" s="864"/>
      <c r="Y23" s="843"/>
      <c r="Z23" s="864"/>
      <c r="AA23" s="843"/>
      <c r="AB23" s="881"/>
      <c r="AC23" s="884"/>
      <c r="AD23" s="864"/>
      <c r="AE23" s="843"/>
      <c r="AF23" s="864"/>
      <c r="AG23" s="843"/>
      <c r="AH23" s="864"/>
      <c r="AI23" s="843"/>
      <c r="AJ23" s="864"/>
      <c r="AK23" s="843"/>
      <c r="AL23" s="864"/>
      <c r="AM23" s="843"/>
      <c r="AN23" s="889"/>
      <c r="AO23" s="891"/>
      <c r="AP23" s="893"/>
      <c r="AQ23" s="897"/>
      <c r="AR23" s="900"/>
      <c r="AS23" s="846"/>
      <c r="AT23" s="1024"/>
      <c r="AU23" s="885"/>
      <c r="AV23" s="864"/>
      <c r="AW23" s="843">
        <f t="shared" si="2"/>
        <v>0</v>
      </c>
      <c r="AX23" s="864">
        <f t="shared" si="3"/>
        <v>0</v>
      </c>
      <c r="AY23" s="845"/>
      <c r="AZ23" s="882"/>
      <c r="BA23" s="841">
        <f t="shared" si="0"/>
        <v>0</v>
      </c>
      <c r="BB23" s="842">
        <f t="shared" si="1"/>
        <v>0</v>
      </c>
    </row>
    <row r="24" spans="1:54" ht="17.25" x14ac:dyDescent="0.35">
      <c r="A24" s="350" t="s">
        <v>245</v>
      </c>
      <c r="B24" s="399"/>
      <c r="C24" s="853">
        <v>75</v>
      </c>
      <c r="D24" s="1243">
        <v>131</v>
      </c>
      <c r="E24" s="862">
        <v>2</v>
      </c>
      <c r="F24" s="864">
        <v>-8</v>
      </c>
      <c r="G24" s="843">
        <v>125</v>
      </c>
      <c r="H24" s="864"/>
      <c r="I24" s="843">
        <v>21</v>
      </c>
      <c r="J24" s="864"/>
      <c r="K24" s="843"/>
      <c r="L24" s="864"/>
      <c r="M24" s="843">
        <v>32</v>
      </c>
      <c r="N24" s="872">
        <v>6</v>
      </c>
      <c r="O24" s="874"/>
      <c r="P24" s="864"/>
      <c r="Q24" s="843">
        <v>104</v>
      </c>
      <c r="R24" s="190">
        <v>75</v>
      </c>
      <c r="S24" s="1"/>
      <c r="T24" s="864"/>
      <c r="U24" s="843">
        <v>287</v>
      </c>
      <c r="V24" s="864">
        <v>137</v>
      </c>
      <c r="W24" s="843"/>
      <c r="X24" s="864"/>
      <c r="Y24" s="843">
        <v>146</v>
      </c>
      <c r="Z24" s="864">
        <v>141</v>
      </c>
      <c r="AA24" s="843">
        <v>-5</v>
      </c>
      <c r="AB24" s="881">
        <v>-8</v>
      </c>
      <c r="AC24" s="884"/>
      <c r="AD24" s="864"/>
      <c r="AE24" s="843"/>
      <c r="AF24" s="864"/>
      <c r="AG24" s="843">
        <v>616</v>
      </c>
      <c r="AH24" s="864">
        <v>-3</v>
      </c>
      <c r="AI24" s="843"/>
      <c r="AJ24" s="864"/>
      <c r="AK24" s="843">
        <v>-93</v>
      </c>
      <c r="AL24" s="864">
        <v>-110</v>
      </c>
      <c r="AM24" s="843"/>
      <c r="AN24" s="889"/>
      <c r="AO24" s="891">
        <v>-135</v>
      </c>
      <c r="AP24" s="893">
        <v>98</v>
      </c>
      <c r="AQ24" s="897"/>
      <c r="AR24" s="900"/>
      <c r="AS24" s="846">
        <v>-14</v>
      </c>
      <c r="AT24" s="1024">
        <v>13</v>
      </c>
      <c r="AU24" s="885"/>
      <c r="AV24" s="864"/>
      <c r="AW24" s="843">
        <f t="shared" si="2"/>
        <v>1161</v>
      </c>
      <c r="AX24" s="864">
        <f t="shared" si="3"/>
        <v>472</v>
      </c>
      <c r="AY24" s="845">
        <v>-194200</v>
      </c>
      <c r="AZ24" s="882">
        <v>-129895</v>
      </c>
      <c r="BA24" s="841">
        <f t="shared" si="0"/>
        <v>-193039</v>
      </c>
      <c r="BB24" s="842">
        <f t="shared" si="1"/>
        <v>-129423</v>
      </c>
    </row>
    <row r="25" spans="1:54" ht="17.25" x14ac:dyDescent="0.35">
      <c r="A25" s="350" t="s">
        <v>246</v>
      </c>
      <c r="B25" s="399"/>
      <c r="C25" s="853"/>
      <c r="D25" s="1244"/>
      <c r="E25" s="863"/>
      <c r="F25" s="865"/>
      <c r="G25" s="845"/>
      <c r="H25" s="865"/>
      <c r="I25" s="845">
        <v>212</v>
      </c>
      <c r="J25" s="865"/>
      <c r="K25" s="845">
        <v>352</v>
      </c>
      <c r="L25" s="865"/>
      <c r="M25" s="845">
        <v>4</v>
      </c>
      <c r="N25" s="873"/>
      <c r="O25" s="875"/>
      <c r="P25" s="865"/>
      <c r="Q25" s="845"/>
      <c r="R25" s="84"/>
      <c r="S25" s="6"/>
      <c r="T25" s="865"/>
      <c r="U25" s="845"/>
      <c r="V25" s="865"/>
      <c r="W25" s="845"/>
      <c r="X25" s="865"/>
      <c r="Y25" s="845">
        <v>679</v>
      </c>
      <c r="Z25" s="865">
        <v>337</v>
      </c>
      <c r="AA25" s="845">
        <v>16</v>
      </c>
      <c r="AB25" s="881">
        <v>9</v>
      </c>
      <c r="AC25" s="884">
        <v>1585</v>
      </c>
      <c r="AD25" s="865"/>
      <c r="AE25" s="845"/>
      <c r="AF25" s="887">
        <v>1282</v>
      </c>
      <c r="AG25" s="888">
        <v>271</v>
      </c>
      <c r="AH25" s="865">
        <v>184</v>
      </c>
      <c r="AI25" s="845"/>
      <c r="AJ25" s="865"/>
      <c r="AK25" s="845">
        <v>149</v>
      </c>
      <c r="AL25" s="865">
        <v>221</v>
      </c>
      <c r="AM25" s="845"/>
      <c r="AN25" s="889"/>
      <c r="AO25" s="891">
        <v>228</v>
      </c>
      <c r="AP25" s="896">
        <v>2953</v>
      </c>
      <c r="AQ25" s="899"/>
      <c r="AR25" s="900"/>
      <c r="AS25" s="846">
        <v>51</v>
      </c>
      <c r="AT25" s="1024">
        <v>2083</v>
      </c>
      <c r="AU25" s="885"/>
      <c r="AV25" s="865"/>
      <c r="AW25" s="843">
        <f t="shared" si="2"/>
        <v>3547</v>
      </c>
      <c r="AX25" s="864">
        <f t="shared" si="3"/>
        <v>7069</v>
      </c>
      <c r="AY25" s="845"/>
      <c r="AZ25" s="865"/>
      <c r="BA25" s="841">
        <f t="shared" si="0"/>
        <v>3547</v>
      </c>
      <c r="BB25" s="842">
        <f t="shared" si="1"/>
        <v>7069</v>
      </c>
    </row>
    <row r="26" spans="1:54" ht="17.25" x14ac:dyDescent="0.35">
      <c r="A26" s="350" t="s">
        <v>385</v>
      </c>
      <c r="B26" s="399"/>
      <c r="C26" s="853"/>
      <c r="D26" s="1244"/>
      <c r="E26" s="863"/>
      <c r="F26" s="865"/>
      <c r="G26" s="845"/>
      <c r="H26" s="865"/>
      <c r="I26" s="845"/>
      <c r="J26" s="865"/>
      <c r="K26" s="845"/>
      <c r="L26" s="865"/>
      <c r="M26" s="845"/>
      <c r="N26" s="873"/>
      <c r="O26" s="875"/>
      <c r="P26" s="865"/>
      <c r="Q26" s="845"/>
      <c r="R26" s="84"/>
      <c r="S26" s="6"/>
      <c r="T26" s="865"/>
      <c r="U26" s="845"/>
      <c r="V26" s="865"/>
      <c r="W26" s="845"/>
      <c r="X26" s="865"/>
      <c r="Y26" s="845"/>
      <c r="Z26" s="865"/>
      <c r="AA26" s="845"/>
      <c r="AB26" s="881"/>
      <c r="AC26" s="884"/>
      <c r="AD26" s="865"/>
      <c r="AE26" s="845"/>
      <c r="AF26" s="887"/>
      <c r="AG26" s="888"/>
      <c r="AH26" s="865"/>
      <c r="AI26" s="845"/>
      <c r="AJ26" s="865"/>
      <c r="AK26" s="845"/>
      <c r="AL26" s="865"/>
      <c r="AM26" s="845"/>
      <c r="AN26" s="889"/>
      <c r="AO26" s="891"/>
      <c r="AP26" s="896"/>
      <c r="AQ26" s="899"/>
      <c r="AR26" s="900"/>
      <c r="AS26" s="846"/>
      <c r="AT26" s="1024"/>
      <c r="AU26" s="885"/>
      <c r="AV26" s="865"/>
      <c r="AW26" s="843"/>
      <c r="AX26" s="864"/>
      <c r="AY26" s="845"/>
      <c r="AZ26" s="865"/>
      <c r="BA26" s="841"/>
      <c r="BB26" s="842"/>
    </row>
    <row r="27" spans="1:54" ht="17.25" x14ac:dyDescent="0.35">
      <c r="A27" s="350" t="s">
        <v>247</v>
      </c>
      <c r="B27" s="399"/>
      <c r="C27" s="853">
        <v>5315</v>
      </c>
      <c r="D27" s="1243">
        <v>4457</v>
      </c>
      <c r="E27" s="862"/>
      <c r="F27" s="864"/>
      <c r="G27" s="843"/>
      <c r="H27" s="864"/>
      <c r="I27" s="843">
        <v>551</v>
      </c>
      <c r="J27" s="864"/>
      <c r="K27" s="843"/>
      <c r="L27" s="864"/>
      <c r="M27" s="843"/>
      <c r="N27" s="872"/>
      <c r="O27" s="874"/>
      <c r="P27" s="864"/>
      <c r="Q27" s="843"/>
      <c r="R27" s="190"/>
      <c r="S27" s="1"/>
      <c r="T27" s="864"/>
      <c r="U27" s="843"/>
      <c r="V27" s="864"/>
      <c r="W27" s="843">
        <v>16082</v>
      </c>
      <c r="X27" s="864">
        <v>18450</v>
      </c>
      <c r="Y27" s="843"/>
      <c r="Z27" s="864"/>
      <c r="AA27" s="843"/>
      <c r="AB27" s="881"/>
      <c r="AC27" s="884"/>
      <c r="AD27" s="864"/>
      <c r="AE27" s="843">
        <v>37225</v>
      </c>
      <c r="AF27" s="864">
        <v>13478</v>
      </c>
      <c r="AG27" s="843"/>
      <c r="AH27" s="864"/>
      <c r="AI27" s="843">
        <v>879</v>
      </c>
      <c r="AJ27" s="864">
        <v>2098</v>
      </c>
      <c r="AK27" s="843"/>
      <c r="AL27" s="864"/>
      <c r="AM27" s="843"/>
      <c r="AN27" s="889"/>
      <c r="AO27" s="891"/>
      <c r="AP27" s="894"/>
      <c r="AQ27" s="853">
        <v>5154</v>
      </c>
      <c r="AR27" s="900">
        <v>817</v>
      </c>
      <c r="AS27" s="846">
        <v>2040</v>
      </c>
      <c r="AT27" s="1024">
        <v>1079</v>
      </c>
      <c r="AU27" s="885">
        <v>1398</v>
      </c>
      <c r="AV27" s="864">
        <v>-1377</v>
      </c>
      <c r="AW27" s="843">
        <f t="shared" si="2"/>
        <v>68644</v>
      </c>
      <c r="AX27" s="864">
        <f t="shared" si="3"/>
        <v>39002</v>
      </c>
      <c r="AY27" s="845">
        <v>524285</v>
      </c>
      <c r="AZ27" s="882">
        <v>787862</v>
      </c>
      <c r="BA27" s="841">
        <f t="shared" si="0"/>
        <v>592929</v>
      </c>
      <c r="BB27" s="842">
        <f t="shared" si="1"/>
        <v>826864</v>
      </c>
    </row>
    <row r="28" spans="1:54" ht="17.25" x14ac:dyDescent="0.35">
      <c r="A28" s="350" t="s">
        <v>248</v>
      </c>
      <c r="B28" s="399"/>
      <c r="C28" s="853"/>
      <c r="D28" s="1243"/>
      <c r="E28" s="862"/>
      <c r="F28" s="864"/>
      <c r="G28" s="843"/>
      <c r="H28" s="864"/>
      <c r="I28" s="843"/>
      <c r="J28" s="864"/>
      <c r="K28" s="843"/>
      <c r="L28" s="864"/>
      <c r="M28" s="843"/>
      <c r="N28" s="872"/>
      <c r="O28" s="874"/>
      <c r="P28" s="864"/>
      <c r="Q28" s="843"/>
      <c r="R28" s="190"/>
      <c r="S28" s="1"/>
      <c r="T28" s="864"/>
      <c r="U28" s="843"/>
      <c r="V28" s="864"/>
      <c r="W28" s="843"/>
      <c r="X28" s="864"/>
      <c r="Y28" s="843"/>
      <c r="Z28" s="864"/>
      <c r="AA28" s="843"/>
      <c r="AB28" s="881"/>
      <c r="AC28" s="884"/>
      <c r="AD28" s="864"/>
      <c r="AE28" s="843"/>
      <c r="AF28" s="864"/>
      <c r="AG28" s="843"/>
      <c r="AH28" s="864"/>
      <c r="AI28" s="843"/>
      <c r="AJ28" s="864"/>
      <c r="AK28" s="843"/>
      <c r="AL28" s="864"/>
      <c r="AM28" s="843"/>
      <c r="AN28" s="889"/>
      <c r="AO28" s="891">
        <v>14740</v>
      </c>
      <c r="AP28" s="893">
        <v>12616</v>
      </c>
      <c r="AQ28" s="897"/>
      <c r="AR28" s="900"/>
      <c r="AS28" s="846"/>
      <c r="AT28" s="1024"/>
      <c r="AU28" s="885"/>
      <c r="AV28" s="864"/>
      <c r="AW28" s="843">
        <f t="shared" si="2"/>
        <v>14740</v>
      </c>
      <c r="AX28" s="864">
        <f t="shared" si="3"/>
        <v>12616</v>
      </c>
      <c r="AY28" s="845"/>
      <c r="AZ28" s="882"/>
      <c r="BA28" s="841">
        <f t="shared" si="0"/>
        <v>14740</v>
      </c>
      <c r="BB28" s="842">
        <f t="shared" si="1"/>
        <v>12616</v>
      </c>
    </row>
    <row r="29" spans="1:54" ht="17.25" x14ac:dyDescent="0.35">
      <c r="A29" s="350" t="s">
        <v>249</v>
      </c>
      <c r="B29" s="399"/>
      <c r="C29" s="853"/>
      <c r="D29" s="1243"/>
      <c r="E29" s="862"/>
      <c r="F29" s="864"/>
      <c r="G29" s="843"/>
      <c r="H29" s="864"/>
      <c r="I29" s="843"/>
      <c r="J29" s="864"/>
      <c r="K29" s="843"/>
      <c r="L29" s="864"/>
      <c r="M29" s="843"/>
      <c r="N29" s="872"/>
      <c r="O29" s="874"/>
      <c r="P29" s="864"/>
      <c r="Q29" s="843"/>
      <c r="R29" s="190"/>
      <c r="S29" s="1"/>
      <c r="T29" s="864"/>
      <c r="U29" s="843"/>
      <c r="V29" s="864"/>
      <c r="W29" s="843"/>
      <c r="X29" s="864"/>
      <c r="Y29" s="843"/>
      <c r="Z29" s="864"/>
      <c r="AA29" s="843"/>
      <c r="AB29" s="881"/>
      <c r="AC29" s="884"/>
      <c r="AD29" s="864"/>
      <c r="AE29" s="843"/>
      <c r="AF29" s="864"/>
      <c r="AG29" s="843"/>
      <c r="AH29" s="864"/>
      <c r="AI29" s="843"/>
      <c r="AJ29" s="864"/>
      <c r="AK29" s="843"/>
      <c r="AL29" s="864"/>
      <c r="AM29" s="843"/>
      <c r="AN29" s="889"/>
      <c r="AO29" s="891"/>
      <c r="AP29" s="894"/>
      <c r="AQ29" s="853"/>
      <c r="AR29" s="900"/>
      <c r="AS29" s="846"/>
      <c r="AT29" s="1024"/>
      <c r="AU29" s="885"/>
      <c r="AV29" s="864"/>
      <c r="AW29" s="843">
        <f t="shared" si="2"/>
        <v>0</v>
      </c>
      <c r="AX29" s="864">
        <f t="shared" si="3"/>
        <v>0</v>
      </c>
      <c r="AY29" s="845"/>
      <c r="AZ29" s="882"/>
      <c r="BA29" s="841">
        <f t="shared" si="0"/>
        <v>0</v>
      </c>
      <c r="BB29" s="842">
        <f t="shared" si="1"/>
        <v>0</v>
      </c>
    </row>
    <row r="30" spans="1:54" ht="17.25" x14ac:dyDescent="0.35">
      <c r="A30" s="350" t="s">
        <v>250</v>
      </c>
      <c r="B30" s="399"/>
      <c r="C30" s="853"/>
      <c r="D30" s="1243">
        <v>98</v>
      </c>
      <c r="E30" s="862"/>
      <c r="F30" s="864">
        <v>-125</v>
      </c>
      <c r="G30" s="843">
        <v>49</v>
      </c>
      <c r="H30" s="864"/>
      <c r="I30" s="843">
        <v>-17067</v>
      </c>
      <c r="J30" s="864"/>
      <c r="K30" s="843">
        <v>11</v>
      </c>
      <c r="L30" s="864"/>
      <c r="M30" s="843"/>
      <c r="N30" s="872"/>
      <c r="O30" s="874">
        <v>-138</v>
      </c>
      <c r="P30" s="864"/>
      <c r="Q30" s="843">
        <v>-285</v>
      </c>
      <c r="R30" s="190">
        <v>-614</v>
      </c>
      <c r="S30" s="1"/>
      <c r="T30" s="864"/>
      <c r="U30" s="843">
        <v>157</v>
      </c>
      <c r="V30" s="864">
        <v>-500</v>
      </c>
      <c r="W30" s="843">
        <v>1795</v>
      </c>
      <c r="X30" s="864">
        <v>-25576</v>
      </c>
      <c r="Y30" s="843">
        <v>5437</v>
      </c>
      <c r="Z30" s="864">
        <v>2332</v>
      </c>
      <c r="AA30" s="843">
        <v>1567</v>
      </c>
      <c r="AB30" s="881">
        <v>-422</v>
      </c>
      <c r="AC30" s="884">
        <v>-287</v>
      </c>
      <c r="AD30" s="864">
        <v>-110</v>
      </c>
      <c r="AE30" s="843">
        <v>-196</v>
      </c>
      <c r="AF30" s="864">
        <v>-2481</v>
      </c>
      <c r="AG30" s="843">
        <v>1023</v>
      </c>
      <c r="AH30" s="864">
        <v>5170</v>
      </c>
      <c r="AI30" s="843"/>
      <c r="AJ30" s="864"/>
      <c r="AK30" s="843"/>
      <c r="AL30" s="864">
        <v>-6468</v>
      </c>
      <c r="AM30" s="843"/>
      <c r="AN30" s="889"/>
      <c r="AO30" s="891">
        <v>1220</v>
      </c>
      <c r="AP30" s="893">
        <v>6315</v>
      </c>
      <c r="AQ30" s="897"/>
      <c r="AR30" s="900"/>
      <c r="AS30" s="846"/>
      <c r="AT30" s="1024">
        <v>-3980</v>
      </c>
      <c r="AU30" s="885"/>
      <c r="AV30" s="864">
        <v>-118</v>
      </c>
      <c r="AW30" s="843">
        <f t="shared" si="2"/>
        <v>-6714</v>
      </c>
      <c r="AX30" s="864">
        <f t="shared" si="3"/>
        <v>-26479</v>
      </c>
      <c r="AY30" s="845">
        <v>-76021</v>
      </c>
      <c r="AZ30" s="882">
        <v>-303891</v>
      </c>
      <c r="BA30" s="841">
        <f t="shared" si="0"/>
        <v>-82735</v>
      </c>
      <c r="BB30" s="842">
        <f t="shared" si="1"/>
        <v>-330370</v>
      </c>
    </row>
    <row r="31" spans="1:54" ht="17.25" x14ac:dyDescent="0.35">
      <c r="A31" s="350" t="s">
        <v>251</v>
      </c>
      <c r="B31" s="399"/>
      <c r="C31" s="853">
        <v>-2</v>
      </c>
      <c r="D31" s="1244">
        <v>-2</v>
      </c>
      <c r="E31" s="863"/>
      <c r="F31" s="865"/>
      <c r="G31" s="845"/>
      <c r="H31" s="865"/>
      <c r="I31" s="845"/>
      <c r="J31" s="865"/>
      <c r="K31" s="845"/>
      <c r="L31" s="865"/>
      <c r="M31" s="845"/>
      <c r="N31" s="873"/>
      <c r="O31" s="875"/>
      <c r="P31" s="865"/>
      <c r="Q31" s="845"/>
      <c r="R31" s="84"/>
      <c r="S31" s="6"/>
      <c r="T31" s="865"/>
      <c r="U31" s="845"/>
      <c r="V31" s="865"/>
      <c r="W31" s="845"/>
      <c r="X31" s="865"/>
      <c r="Y31" s="845"/>
      <c r="Z31" s="865"/>
      <c r="AA31" s="845"/>
      <c r="AB31" s="881"/>
      <c r="AC31" s="884"/>
      <c r="AD31" s="865"/>
      <c r="AE31" s="845"/>
      <c r="AF31" s="887"/>
      <c r="AG31" s="888"/>
      <c r="AH31" s="865"/>
      <c r="AI31" s="845"/>
      <c r="AJ31" s="865"/>
      <c r="AK31" s="845"/>
      <c r="AL31" s="865"/>
      <c r="AM31" s="845"/>
      <c r="AN31" s="889"/>
      <c r="AO31" s="891">
        <v>-24</v>
      </c>
      <c r="AP31" s="896">
        <v>-5278</v>
      </c>
      <c r="AQ31" s="899"/>
      <c r="AR31" s="900"/>
      <c r="AS31" s="846"/>
      <c r="AT31" s="1024"/>
      <c r="AU31" s="885"/>
      <c r="AV31" s="865"/>
      <c r="AW31" s="843">
        <f t="shared" si="2"/>
        <v>-26</v>
      </c>
      <c r="AX31" s="864">
        <f t="shared" si="3"/>
        <v>-5280</v>
      </c>
      <c r="AY31" s="845">
        <v>-1214439</v>
      </c>
      <c r="AZ31" s="865">
        <v>-504011</v>
      </c>
      <c r="BA31" s="841">
        <f t="shared" si="0"/>
        <v>-1214465</v>
      </c>
      <c r="BB31" s="842">
        <f t="shared" si="1"/>
        <v>-509291</v>
      </c>
    </row>
    <row r="32" spans="1:54" ht="17.25" x14ac:dyDescent="0.35">
      <c r="A32" s="350" t="s">
        <v>376</v>
      </c>
      <c r="B32" s="399"/>
      <c r="C32" s="853"/>
      <c r="D32" s="1244"/>
      <c r="E32" s="863"/>
      <c r="F32" s="865"/>
      <c r="G32" s="845"/>
      <c r="H32" s="865"/>
      <c r="I32" s="845"/>
      <c r="J32" s="865"/>
      <c r="K32" s="845"/>
      <c r="L32" s="865"/>
      <c r="M32" s="845"/>
      <c r="N32" s="873">
        <v>375</v>
      </c>
      <c r="O32" s="875"/>
      <c r="P32" s="865"/>
      <c r="Q32" s="845"/>
      <c r="R32" s="84"/>
      <c r="S32" s="6"/>
      <c r="T32" s="865"/>
      <c r="U32" s="845"/>
      <c r="V32" s="865"/>
      <c r="W32" s="845">
        <v>835</v>
      </c>
      <c r="X32" s="865">
        <v>235</v>
      </c>
      <c r="Y32" s="845"/>
      <c r="Z32" s="865"/>
      <c r="AA32" s="845"/>
      <c r="AB32" s="881"/>
      <c r="AC32" s="884"/>
      <c r="AD32" s="865"/>
      <c r="AE32" s="845"/>
      <c r="AF32" s="887"/>
      <c r="AG32" s="888"/>
      <c r="AH32" s="865"/>
      <c r="AI32" s="845">
        <v>929</v>
      </c>
      <c r="AJ32" s="865">
        <v>363</v>
      </c>
      <c r="AK32" s="845"/>
      <c r="AL32" s="865"/>
      <c r="AM32" s="845"/>
      <c r="AN32" s="889"/>
      <c r="AO32" s="891"/>
      <c r="AP32" s="896"/>
      <c r="AQ32" s="899"/>
      <c r="AR32" s="900"/>
      <c r="AS32" s="846"/>
      <c r="AT32" s="1024"/>
      <c r="AU32" s="885"/>
      <c r="AV32" s="865"/>
      <c r="AW32" s="843">
        <f t="shared" si="2"/>
        <v>1764</v>
      </c>
      <c r="AX32" s="864">
        <f t="shared" si="3"/>
        <v>973</v>
      </c>
      <c r="AY32" s="845"/>
      <c r="AZ32" s="865"/>
      <c r="BA32" s="841">
        <f t="shared" si="0"/>
        <v>1764</v>
      </c>
      <c r="BB32" s="842">
        <f t="shared" si="1"/>
        <v>973</v>
      </c>
    </row>
    <row r="33" spans="1:54" ht="17.25" x14ac:dyDescent="0.35">
      <c r="A33" s="350" t="s">
        <v>252</v>
      </c>
      <c r="B33" s="399"/>
      <c r="C33" s="853">
        <v>11946</v>
      </c>
      <c r="D33" s="1243">
        <v>12152</v>
      </c>
      <c r="E33" s="862">
        <v>293</v>
      </c>
      <c r="F33" s="864">
        <v>321</v>
      </c>
      <c r="G33" s="843">
        <v>1366</v>
      </c>
      <c r="H33" s="864"/>
      <c r="I33" s="843">
        <v>16028</v>
      </c>
      <c r="J33" s="864"/>
      <c r="K33" s="843">
        <v>792</v>
      </c>
      <c r="L33" s="864"/>
      <c r="M33" s="843">
        <v>6570</v>
      </c>
      <c r="N33" s="872">
        <v>6293</v>
      </c>
      <c r="O33" s="874">
        <v>141</v>
      </c>
      <c r="P33" s="864"/>
      <c r="Q33" s="843">
        <v>810</v>
      </c>
      <c r="R33" s="190">
        <v>809</v>
      </c>
      <c r="S33" s="1"/>
      <c r="T33" s="864">
        <v>458</v>
      </c>
      <c r="U33" s="843">
        <v>264</v>
      </c>
      <c r="V33" s="864">
        <v>319</v>
      </c>
      <c r="W33" s="843">
        <v>37371</v>
      </c>
      <c r="X33" s="864">
        <v>36956</v>
      </c>
      <c r="Y33" s="843">
        <v>66091</v>
      </c>
      <c r="Z33" s="864">
        <v>69143</v>
      </c>
      <c r="AA33" s="843">
        <v>1942</v>
      </c>
      <c r="AB33" s="882">
        <v>1905</v>
      </c>
      <c r="AC33" s="885">
        <v>4204</v>
      </c>
      <c r="AD33" s="864">
        <v>3740</v>
      </c>
      <c r="AE33" s="843">
        <v>8708</v>
      </c>
      <c r="AF33" s="864">
        <v>8330</v>
      </c>
      <c r="AG33" s="843">
        <v>20176</v>
      </c>
      <c r="AH33" s="864">
        <v>18846</v>
      </c>
      <c r="AI33" s="843">
        <v>5715</v>
      </c>
      <c r="AJ33" s="864">
        <v>5231</v>
      </c>
      <c r="AK33" s="843">
        <v>3406</v>
      </c>
      <c r="AL33" s="864">
        <v>4427</v>
      </c>
      <c r="AM33" s="843"/>
      <c r="AN33" s="889"/>
      <c r="AO33" s="891">
        <v>81942</v>
      </c>
      <c r="AP33" s="893">
        <v>74198</v>
      </c>
      <c r="AQ33" s="897">
        <v>229</v>
      </c>
      <c r="AR33" s="900">
        <v>238</v>
      </c>
      <c r="AS33" s="846">
        <v>1089</v>
      </c>
      <c r="AT33" s="1024">
        <v>1016</v>
      </c>
      <c r="AU33" s="885">
        <v>13250</v>
      </c>
      <c r="AV33" s="864">
        <v>9499</v>
      </c>
      <c r="AW33" s="843">
        <f t="shared" si="2"/>
        <v>282333</v>
      </c>
      <c r="AX33" s="864">
        <f t="shared" si="3"/>
        <v>253881</v>
      </c>
      <c r="AY33" s="845">
        <v>10948</v>
      </c>
      <c r="AZ33" s="864">
        <v>9076</v>
      </c>
      <c r="BA33" s="841">
        <f t="shared" si="0"/>
        <v>293281</v>
      </c>
      <c r="BB33" s="842">
        <f t="shared" si="1"/>
        <v>262957</v>
      </c>
    </row>
    <row r="34" spans="1:54" s="1364" customFormat="1" ht="14.25" x14ac:dyDescent="0.3">
      <c r="A34" s="1344" t="s">
        <v>253</v>
      </c>
      <c r="B34" s="1345"/>
      <c r="C34" s="1346">
        <v>311342</v>
      </c>
      <c r="D34" s="1347">
        <v>228549</v>
      </c>
      <c r="E34" s="1348">
        <v>16767</v>
      </c>
      <c r="F34" s="1341">
        <v>16742</v>
      </c>
      <c r="G34" s="1342">
        <v>32400</v>
      </c>
      <c r="H34" s="1341"/>
      <c r="I34" s="1342">
        <v>529603</v>
      </c>
      <c r="J34" s="1341"/>
      <c r="K34" s="1342">
        <v>112887</v>
      </c>
      <c r="L34" s="1341"/>
      <c r="M34" s="1342">
        <v>131580</v>
      </c>
      <c r="N34" s="1341">
        <v>112324</v>
      </c>
      <c r="O34" s="1342">
        <v>38054</v>
      </c>
      <c r="P34" s="1341"/>
      <c r="Q34" s="1342">
        <v>72056</v>
      </c>
      <c r="R34" s="519">
        <v>64888</v>
      </c>
      <c r="S34" s="1343"/>
      <c r="T34" s="1341">
        <v>93233</v>
      </c>
      <c r="U34" s="1342">
        <v>66556</v>
      </c>
      <c r="V34" s="1341">
        <v>55957</v>
      </c>
      <c r="W34" s="1342">
        <v>1139087</v>
      </c>
      <c r="X34" s="1341">
        <v>785344</v>
      </c>
      <c r="Y34" s="1342">
        <v>717065</v>
      </c>
      <c r="Z34" s="1341">
        <v>606539</v>
      </c>
      <c r="AA34" s="1342">
        <v>50157</v>
      </c>
      <c r="AB34" s="1361">
        <v>36327</v>
      </c>
      <c r="AC34" s="1358">
        <v>120971</v>
      </c>
      <c r="AD34" s="1341">
        <v>99429</v>
      </c>
      <c r="AE34" s="1342">
        <v>331741</v>
      </c>
      <c r="AF34" s="1341">
        <v>244484</v>
      </c>
      <c r="AG34" s="1342">
        <v>541551</v>
      </c>
      <c r="AH34" s="1341">
        <v>466401</v>
      </c>
      <c r="AI34" s="1342">
        <v>204645</v>
      </c>
      <c r="AJ34" s="1341">
        <v>169262</v>
      </c>
      <c r="AK34" s="1342">
        <v>135887</v>
      </c>
      <c r="AL34" s="1341">
        <v>124256</v>
      </c>
      <c r="AM34" s="1342"/>
      <c r="AN34" s="1351"/>
      <c r="AO34" s="1352">
        <v>745168</v>
      </c>
      <c r="AP34" s="1353">
        <v>604177</v>
      </c>
      <c r="AQ34" s="1354">
        <v>78148</v>
      </c>
      <c r="AR34" s="1355">
        <v>65125</v>
      </c>
      <c r="AS34" s="1356">
        <v>109007</v>
      </c>
      <c r="AT34" s="1357">
        <v>71509</v>
      </c>
      <c r="AU34" s="1358">
        <v>651911</v>
      </c>
      <c r="AV34" s="1341">
        <v>431674</v>
      </c>
      <c r="AW34" s="1359">
        <f t="shared" si="2"/>
        <v>6136583</v>
      </c>
      <c r="AX34" s="1360">
        <f t="shared" si="3"/>
        <v>4276220</v>
      </c>
      <c r="AY34" s="1342">
        <v>6423171</v>
      </c>
      <c r="AZ34" s="1341">
        <v>6065354</v>
      </c>
      <c r="BA34" s="1362">
        <f t="shared" si="0"/>
        <v>12559754</v>
      </c>
      <c r="BB34" s="1363">
        <f t="shared" si="1"/>
        <v>10341574</v>
      </c>
    </row>
    <row r="35" spans="1:54" ht="17.25" x14ac:dyDescent="0.35">
      <c r="A35" s="350" t="s">
        <v>254</v>
      </c>
      <c r="B35" s="395" t="s">
        <v>255</v>
      </c>
      <c r="C35" s="854">
        <v>577228</v>
      </c>
      <c r="D35" s="1243">
        <v>675423</v>
      </c>
      <c r="E35" s="862">
        <v>36093</v>
      </c>
      <c r="F35" s="864">
        <v>39111</v>
      </c>
      <c r="G35" s="843">
        <v>110003</v>
      </c>
      <c r="H35" s="864"/>
      <c r="I35" s="843">
        <v>1237220</v>
      </c>
      <c r="J35" s="864"/>
      <c r="K35" s="843">
        <v>85927</v>
      </c>
      <c r="L35" s="864"/>
      <c r="M35" s="843">
        <v>307894</v>
      </c>
      <c r="N35" s="872">
        <v>264375</v>
      </c>
      <c r="O35" s="874">
        <v>44616</v>
      </c>
      <c r="P35" s="864"/>
      <c r="Q35" s="843">
        <v>43523</v>
      </c>
      <c r="R35" s="190">
        <v>31956</v>
      </c>
      <c r="S35" s="1"/>
      <c r="T35" s="864">
        <v>204448</v>
      </c>
      <c r="U35" s="843">
        <v>65732</v>
      </c>
      <c r="V35" s="864">
        <v>56059</v>
      </c>
      <c r="W35" s="843">
        <v>3674947</v>
      </c>
      <c r="X35" s="864">
        <v>3115134</v>
      </c>
      <c r="Y35" s="843">
        <v>3078867</v>
      </c>
      <c r="Z35" s="864">
        <v>2914530</v>
      </c>
      <c r="AA35" s="843">
        <v>136078</v>
      </c>
      <c r="AB35" s="882">
        <v>111597</v>
      </c>
      <c r="AC35" s="885">
        <v>373053</v>
      </c>
      <c r="AD35" s="864">
        <v>400876</v>
      </c>
      <c r="AE35" s="843">
        <v>636651</v>
      </c>
      <c r="AF35" s="864">
        <v>581793</v>
      </c>
      <c r="AG35" s="843">
        <v>997650</v>
      </c>
      <c r="AH35" s="864">
        <v>927347</v>
      </c>
      <c r="AI35" s="843">
        <v>290277</v>
      </c>
      <c r="AJ35" s="864">
        <v>300065</v>
      </c>
      <c r="AK35" s="843">
        <v>244860</v>
      </c>
      <c r="AL35" s="864">
        <v>309943</v>
      </c>
      <c r="AM35" s="843"/>
      <c r="AN35" s="889"/>
      <c r="AO35" s="891">
        <v>3009018</v>
      </c>
      <c r="AP35" s="893">
        <v>3123808</v>
      </c>
      <c r="AQ35" s="897">
        <v>76366</v>
      </c>
      <c r="AR35" s="900">
        <v>86932</v>
      </c>
      <c r="AS35" s="846">
        <v>146377</v>
      </c>
      <c r="AT35" s="1024">
        <v>168032</v>
      </c>
      <c r="AU35" s="885">
        <v>479501</v>
      </c>
      <c r="AV35" s="864">
        <v>411829</v>
      </c>
      <c r="AW35" s="843">
        <f t="shared" si="2"/>
        <v>15651881</v>
      </c>
      <c r="AX35" s="864">
        <f t="shared" si="3"/>
        <v>13723258</v>
      </c>
      <c r="AY35" s="845">
        <v>33931267</v>
      </c>
      <c r="AZ35" s="864">
        <v>35343758</v>
      </c>
      <c r="BA35" s="841">
        <f t="shared" si="0"/>
        <v>49583148</v>
      </c>
      <c r="BB35" s="842">
        <f t="shared" si="1"/>
        <v>49067016</v>
      </c>
    </row>
    <row r="36" spans="1:54" ht="17.25" x14ac:dyDescent="0.35">
      <c r="A36" s="350" t="s">
        <v>256</v>
      </c>
      <c r="B36" s="399"/>
      <c r="C36" s="853">
        <v>658</v>
      </c>
      <c r="D36" s="1243">
        <v>1055</v>
      </c>
      <c r="E36" s="862">
        <v>8</v>
      </c>
      <c r="F36" s="864">
        <v>15</v>
      </c>
      <c r="G36" s="843">
        <v>195</v>
      </c>
      <c r="H36" s="864"/>
      <c r="I36" s="843">
        <v>32878</v>
      </c>
      <c r="J36" s="864"/>
      <c r="K36" s="843">
        <v>2217</v>
      </c>
      <c r="L36" s="864"/>
      <c r="M36" s="843">
        <v>1346</v>
      </c>
      <c r="N36" s="872">
        <v>877</v>
      </c>
      <c r="O36" s="874">
        <v>3</v>
      </c>
      <c r="P36" s="864"/>
      <c r="Q36" s="843">
        <v>15</v>
      </c>
      <c r="R36" s="190">
        <v>4</v>
      </c>
      <c r="S36" s="1"/>
      <c r="T36" s="864">
        <f>474+3020</f>
        <v>3494</v>
      </c>
      <c r="U36" s="843">
        <v>414</v>
      </c>
      <c r="V36" s="864">
        <v>347</v>
      </c>
      <c r="W36" s="843">
        <v>121718</v>
      </c>
      <c r="X36" s="864">
        <v>71241</v>
      </c>
      <c r="Y36" s="843">
        <v>21549</v>
      </c>
      <c r="Z36" s="864">
        <v>21354</v>
      </c>
      <c r="AA36" s="843">
        <v>76</v>
      </c>
      <c r="AB36" s="882">
        <v>119</v>
      </c>
      <c r="AC36" s="885"/>
      <c r="AD36" s="864"/>
      <c r="AE36" s="843">
        <v>7252</v>
      </c>
      <c r="AF36" s="864">
        <v>6825</v>
      </c>
      <c r="AG36" s="843">
        <v>271</v>
      </c>
      <c r="AH36" s="864">
        <v>378</v>
      </c>
      <c r="AI36" s="843">
        <v>186</v>
      </c>
      <c r="AJ36" s="864">
        <v>414</v>
      </c>
      <c r="AK36" s="843">
        <v>44</v>
      </c>
      <c r="AL36" s="864">
        <v>51</v>
      </c>
      <c r="AM36" s="843"/>
      <c r="AN36" s="889"/>
      <c r="AO36" s="891">
        <v>19728</v>
      </c>
      <c r="AP36" s="893">
        <v>10174</v>
      </c>
      <c r="AQ36" s="897">
        <v>37</v>
      </c>
      <c r="AR36" s="900">
        <v>39</v>
      </c>
      <c r="AS36" s="846">
        <v>3</v>
      </c>
      <c r="AT36" s="1024">
        <v>3</v>
      </c>
      <c r="AU36" s="885"/>
      <c r="AV36" s="864"/>
      <c r="AW36" s="843">
        <f t="shared" si="2"/>
        <v>208598</v>
      </c>
      <c r="AX36" s="864">
        <f t="shared" si="3"/>
        <v>116390</v>
      </c>
      <c r="AY36" s="845">
        <v>326407</v>
      </c>
      <c r="AZ36" s="864">
        <v>402730</v>
      </c>
      <c r="BA36" s="841">
        <f t="shared" si="0"/>
        <v>535005</v>
      </c>
      <c r="BB36" s="842">
        <f t="shared" si="1"/>
        <v>519120</v>
      </c>
    </row>
    <row r="37" spans="1:54" ht="17.25" x14ac:dyDescent="0.35">
      <c r="A37" s="350" t="s">
        <v>257</v>
      </c>
      <c r="B37" s="399"/>
      <c r="C37" s="853"/>
      <c r="D37" s="1244"/>
      <c r="E37" s="863"/>
      <c r="F37" s="865"/>
      <c r="G37" s="845"/>
      <c r="H37" s="865"/>
      <c r="I37" s="845"/>
      <c r="J37" s="865"/>
      <c r="K37" s="845"/>
      <c r="L37" s="865"/>
      <c r="M37" s="845"/>
      <c r="N37" s="873"/>
      <c r="O37" s="875"/>
      <c r="P37" s="865"/>
      <c r="Q37" s="845"/>
      <c r="R37" s="84"/>
      <c r="S37" s="6"/>
      <c r="T37" s="865"/>
      <c r="U37" s="845"/>
      <c r="V37" s="865"/>
      <c r="W37" s="845"/>
      <c r="X37" s="865"/>
      <c r="Y37" s="845"/>
      <c r="Z37" s="865"/>
      <c r="AA37" s="845"/>
      <c r="AB37" s="881"/>
      <c r="AC37" s="884"/>
      <c r="AD37" s="865"/>
      <c r="AE37" s="845"/>
      <c r="AF37" s="887"/>
      <c r="AG37" s="888"/>
      <c r="AH37" s="865"/>
      <c r="AI37" s="845"/>
      <c r="AJ37" s="865"/>
      <c r="AK37" s="845"/>
      <c r="AL37" s="865"/>
      <c r="AM37" s="845"/>
      <c r="AN37" s="889"/>
      <c r="AO37" s="891"/>
      <c r="AP37" s="894"/>
      <c r="AQ37" s="853"/>
      <c r="AR37" s="900"/>
      <c r="AS37" s="846"/>
      <c r="AT37" s="1024"/>
      <c r="AU37" s="885"/>
      <c r="AV37" s="865"/>
      <c r="AW37" s="843">
        <f t="shared" si="2"/>
        <v>0</v>
      </c>
      <c r="AX37" s="864">
        <f t="shared" si="3"/>
        <v>0</v>
      </c>
      <c r="AY37" s="845"/>
      <c r="AZ37" s="865"/>
      <c r="BA37" s="841">
        <f t="shared" si="0"/>
        <v>0</v>
      </c>
      <c r="BB37" s="842">
        <f t="shared" si="1"/>
        <v>0</v>
      </c>
    </row>
    <row r="38" spans="1:54" ht="17.25" x14ac:dyDescent="0.35">
      <c r="A38" s="350" t="s">
        <v>258</v>
      </c>
      <c r="B38" s="399"/>
      <c r="C38" s="853">
        <v>882371</v>
      </c>
      <c r="D38" s="1243">
        <v>619374</v>
      </c>
      <c r="E38" s="862">
        <v>38866</v>
      </c>
      <c r="F38" s="864">
        <v>50326</v>
      </c>
      <c r="G38" s="843">
        <v>97117</v>
      </c>
      <c r="H38" s="864"/>
      <c r="I38" s="843">
        <v>512664</v>
      </c>
      <c r="J38" s="864"/>
      <c r="K38" s="843">
        <v>182019</v>
      </c>
      <c r="L38" s="864"/>
      <c r="M38" s="843">
        <v>405793</v>
      </c>
      <c r="N38" s="872">
        <v>332623</v>
      </c>
      <c r="O38" s="874">
        <v>105935</v>
      </c>
      <c r="P38" s="864"/>
      <c r="Q38" s="843">
        <v>101090</v>
      </c>
      <c r="R38" s="190">
        <v>120525</v>
      </c>
      <c r="S38" s="1"/>
      <c r="T38" s="864">
        <v>201840</v>
      </c>
      <c r="U38" s="843">
        <v>100278</v>
      </c>
      <c r="V38" s="864">
        <v>89179</v>
      </c>
      <c r="W38" s="843">
        <v>2421381</v>
      </c>
      <c r="X38" s="864">
        <v>2148460</v>
      </c>
      <c r="Y38" s="843">
        <v>1552369</v>
      </c>
      <c r="Z38" s="864">
        <v>970374</v>
      </c>
      <c r="AA38" s="843">
        <v>118134</v>
      </c>
      <c r="AB38" s="881">
        <v>113672</v>
      </c>
      <c r="AC38" s="884">
        <v>167671</v>
      </c>
      <c r="AD38" s="864">
        <v>60865</v>
      </c>
      <c r="AE38" s="843">
        <v>728325</v>
      </c>
      <c r="AF38" s="864">
        <v>564615</v>
      </c>
      <c r="AG38" s="843">
        <v>1398568</v>
      </c>
      <c r="AH38" s="864">
        <v>1218230</v>
      </c>
      <c r="AI38" s="843">
        <v>523816</v>
      </c>
      <c r="AJ38" s="864">
        <v>461829</v>
      </c>
      <c r="AK38" s="843">
        <v>293140</v>
      </c>
      <c r="AL38" s="864">
        <v>218074</v>
      </c>
      <c r="AM38" s="843"/>
      <c r="AN38" s="889"/>
      <c r="AO38" s="891">
        <v>2070986</v>
      </c>
      <c r="AP38" s="893">
        <v>1739337</v>
      </c>
      <c r="AQ38" s="897">
        <v>142780</v>
      </c>
      <c r="AR38" s="900">
        <v>144356</v>
      </c>
      <c r="AS38" s="846">
        <v>392720</v>
      </c>
      <c r="AT38" s="1024">
        <v>257487</v>
      </c>
      <c r="AU38" s="885">
        <v>1091336</v>
      </c>
      <c r="AV38" s="864">
        <v>729741</v>
      </c>
      <c r="AW38" s="843">
        <f t="shared" si="2"/>
        <v>13327359</v>
      </c>
      <c r="AX38" s="864">
        <f t="shared" si="3"/>
        <v>10040907</v>
      </c>
      <c r="AY38" s="845">
        <v>34100204</v>
      </c>
      <c r="AZ38" s="864">
        <v>30628848</v>
      </c>
      <c r="BA38" s="841">
        <f t="shared" si="0"/>
        <v>47427563</v>
      </c>
      <c r="BB38" s="842">
        <f t="shared" si="1"/>
        <v>40669755</v>
      </c>
    </row>
    <row r="39" spans="1:54" ht="17.25" x14ac:dyDescent="0.35">
      <c r="A39" s="350" t="s">
        <v>259</v>
      </c>
      <c r="B39" s="399"/>
      <c r="C39" s="853">
        <v>-1815</v>
      </c>
      <c r="D39" s="1243">
        <v>-43991</v>
      </c>
      <c r="E39" s="862">
        <v>-3534</v>
      </c>
      <c r="F39" s="864">
        <v>-8044</v>
      </c>
      <c r="G39" s="843">
        <v>-2401</v>
      </c>
      <c r="H39" s="864"/>
      <c r="I39" s="843">
        <v>-282</v>
      </c>
      <c r="J39" s="864"/>
      <c r="K39" s="843">
        <v>3037</v>
      </c>
      <c r="L39" s="864"/>
      <c r="M39" s="843">
        <v>-6821</v>
      </c>
      <c r="N39" s="872">
        <v>1652</v>
      </c>
      <c r="O39" s="874">
        <v>1802</v>
      </c>
      <c r="P39" s="864"/>
      <c r="Q39" s="843">
        <v>4651</v>
      </c>
      <c r="R39" s="190">
        <v>-163</v>
      </c>
      <c r="S39" s="1"/>
      <c r="T39" s="864">
        <v>-7058</v>
      </c>
      <c r="U39" s="843">
        <v>-713</v>
      </c>
      <c r="V39" s="864">
        <v>-9859</v>
      </c>
      <c r="W39" s="843">
        <v>-268561</v>
      </c>
      <c r="X39" s="864">
        <v>-266512</v>
      </c>
      <c r="Y39" s="843">
        <v>110098</v>
      </c>
      <c r="Z39" s="864">
        <v>376286</v>
      </c>
      <c r="AA39" s="843">
        <v>2882</v>
      </c>
      <c r="AB39" s="881">
        <v>87</v>
      </c>
      <c r="AC39" s="884"/>
      <c r="AD39" s="864"/>
      <c r="AE39" s="843">
        <v>-23368</v>
      </c>
      <c r="AF39" s="864">
        <v>-31193</v>
      </c>
      <c r="AG39" s="843">
        <v>-73246</v>
      </c>
      <c r="AH39" s="864">
        <v>-79374</v>
      </c>
      <c r="AI39" s="843">
        <v>-3947</v>
      </c>
      <c r="AJ39" s="864">
        <v>-44669</v>
      </c>
      <c r="AK39" s="843"/>
      <c r="AL39" s="864"/>
      <c r="AM39" s="843"/>
      <c r="AN39" s="889"/>
      <c r="AO39" s="891">
        <v>-20430</v>
      </c>
      <c r="AP39" s="893">
        <v>-10164</v>
      </c>
      <c r="AQ39" s="897"/>
      <c r="AR39" s="900"/>
      <c r="AS39" s="846">
        <v>-2682</v>
      </c>
      <c r="AT39" s="1024">
        <v>-2629</v>
      </c>
      <c r="AU39" s="885">
        <v>-90845</v>
      </c>
      <c r="AV39" s="864">
        <v>-29709</v>
      </c>
      <c r="AW39" s="843">
        <f t="shared" si="2"/>
        <v>-376175</v>
      </c>
      <c r="AX39" s="864">
        <f t="shared" si="3"/>
        <v>-155340</v>
      </c>
      <c r="AY39" s="845"/>
      <c r="AZ39" s="864"/>
      <c r="BA39" s="841">
        <f t="shared" si="0"/>
        <v>-376175</v>
      </c>
      <c r="BB39" s="842">
        <f t="shared" si="1"/>
        <v>-155340</v>
      </c>
    </row>
    <row r="40" spans="1:54" ht="17.25" x14ac:dyDescent="0.35">
      <c r="A40" s="350" t="s">
        <v>260</v>
      </c>
      <c r="B40" s="399"/>
      <c r="C40" s="853"/>
      <c r="D40" s="1243"/>
      <c r="E40" s="862"/>
      <c r="F40" s="864"/>
      <c r="G40" s="843"/>
      <c r="H40" s="864"/>
      <c r="I40" s="843"/>
      <c r="J40" s="864"/>
      <c r="K40" s="843"/>
      <c r="L40" s="864"/>
      <c r="M40" s="843"/>
      <c r="N40" s="872"/>
      <c r="O40" s="874"/>
      <c r="P40" s="864"/>
      <c r="Q40" s="843"/>
      <c r="R40" s="190"/>
      <c r="S40" s="1"/>
      <c r="T40" s="864"/>
      <c r="U40" s="843"/>
      <c r="V40" s="864"/>
      <c r="W40" s="843"/>
      <c r="X40" s="864"/>
      <c r="Y40" s="843">
        <v>55</v>
      </c>
      <c r="Z40" s="864"/>
      <c r="AA40" s="843"/>
      <c r="AB40" s="881"/>
      <c r="AC40" s="884"/>
      <c r="AD40" s="864"/>
      <c r="AE40" s="843"/>
      <c r="AF40" s="864"/>
      <c r="AG40" s="843"/>
      <c r="AH40" s="864"/>
      <c r="AI40" s="843"/>
      <c r="AJ40" s="864"/>
      <c r="AK40" s="843"/>
      <c r="AL40" s="864"/>
      <c r="AM40" s="843"/>
      <c r="AN40" s="889"/>
      <c r="AO40" s="891"/>
      <c r="AP40" s="894"/>
      <c r="AQ40" s="853"/>
      <c r="AR40" s="900"/>
      <c r="AS40" s="846"/>
      <c r="AT40" s="1024"/>
      <c r="AU40" s="885"/>
      <c r="AV40" s="864"/>
      <c r="AW40" s="843">
        <f t="shared" si="2"/>
        <v>55</v>
      </c>
      <c r="AX40" s="864">
        <f t="shared" si="3"/>
        <v>0</v>
      </c>
      <c r="AY40" s="845"/>
      <c r="AZ40" s="864"/>
      <c r="BA40" s="841">
        <f t="shared" si="0"/>
        <v>55</v>
      </c>
      <c r="BB40" s="842">
        <f t="shared" si="1"/>
        <v>0</v>
      </c>
    </row>
    <row r="41" spans="1:54" ht="17.25" x14ac:dyDescent="0.35">
      <c r="A41" s="350" t="s">
        <v>261</v>
      </c>
      <c r="B41" s="399"/>
      <c r="C41" s="853">
        <v>9936</v>
      </c>
      <c r="D41" s="1243">
        <v>190344</v>
      </c>
      <c r="E41" s="862"/>
      <c r="F41" s="864"/>
      <c r="G41" s="843"/>
      <c r="H41" s="864"/>
      <c r="I41" s="843"/>
      <c r="J41" s="864"/>
      <c r="K41" s="843"/>
      <c r="L41" s="864"/>
      <c r="M41" s="843"/>
      <c r="N41" s="872"/>
      <c r="O41" s="874"/>
      <c r="P41" s="864"/>
      <c r="Q41" s="843"/>
      <c r="R41" s="190"/>
      <c r="S41" s="1"/>
      <c r="T41" s="864"/>
      <c r="U41" s="843"/>
      <c r="V41" s="864"/>
      <c r="W41" s="843">
        <v>-332833</v>
      </c>
      <c r="X41" s="864">
        <v>555546</v>
      </c>
      <c r="Y41" s="843"/>
      <c r="Z41" s="864">
        <v>1277101</v>
      </c>
      <c r="AA41" s="843"/>
      <c r="AB41" s="881">
        <v>58934</v>
      </c>
      <c r="AC41" s="884"/>
      <c r="AD41" s="864">
        <v>117068</v>
      </c>
      <c r="AE41" s="843"/>
      <c r="AF41" s="864"/>
      <c r="AG41" s="843"/>
      <c r="AH41" s="864"/>
      <c r="AI41" s="843"/>
      <c r="AJ41" s="864"/>
      <c r="AK41" s="843"/>
      <c r="AM41" s="843"/>
      <c r="AN41" s="889"/>
      <c r="AO41" s="891"/>
      <c r="AP41" s="893"/>
      <c r="AQ41" s="897"/>
      <c r="AR41" s="900"/>
      <c r="AS41" s="846"/>
      <c r="AT41" s="1024"/>
      <c r="AU41" s="885"/>
      <c r="AV41" s="864"/>
      <c r="AW41" s="843">
        <f t="shared" si="2"/>
        <v>-322897</v>
      </c>
      <c r="AX41" s="864">
        <f>SUM(D41+F41+H41+J41+L41+N41+P41+R41+T41+V41+X41+Z41+AB41+AD41+AF41+AH41+AJ41+AL38+AN41+AP41+AR41+AT41+AV41)</f>
        <v>2417067</v>
      </c>
      <c r="AY41" s="845"/>
      <c r="AZ41" s="864"/>
      <c r="BA41" s="841">
        <f t="shared" si="0"/>
        <v>-322897</v>
      </c>
      <c r="BB41" s="842">
        <f t="shared" si="1"/>
        <v>2417067</v>
      </c>
    </row>
    <row r="42" spans="1:54" ht="17.25" x14ac:dyDescent="0.35">
      <c r="A42" s="350" t="s">
        <v>262</v>
      </c>
      <c r="B42" s="399"/>
      <c r="C42" s="853">
        <v>24787</v>
      </c>
      <c r="D42" s="1244">
        <v>28940</v>
      </c>
      <c r="E42" s="863"/>
      <c r="F42" s="865"/>
      <c r="G42" s="845">
        <v>-588</v>
      </c>
      <c r="H42" s="865"/>
      <c r="I42" s="845">
        <v>24734</v>
      </c>
      <c r="J42" s="865"/>
      <c r="K42" s="845"/>
      <c r="L42" s="865"/>
      <c r="M42" s="845">
        <v>10457</v>
      </c>
      <c r="N42" s="873">
        <v>-5553</v>
      </c>
      <c r="O42" s="875">
        <v>-2274</v>
      </c>
      <c r="P42" s="865"/>
      <c r="Q42" s="845">
        <v>-118</v>
      </c>
      <c r="R42" s="84"/>
      <c r="S42" s="6"/>
      <c r="T42" s="865">
        <v>1147</v>
      </c>
      <c r="U42" s="845"/>
      <c r="V42" s="865"/>
      <c r="W42" s="845">
        <v>-39874</v>
      </c>
      <c r="X42" s="865">
        <v>30659</v>
      </c>
      <c r="Y42" s="845">
        <v>-149918</v>
      </c>
      <c r="Z42" s="865">
        <v>-45385</v>
      </c>
      <c r="AA42" s="845">
        <v>-1999</v>
      </c>
      <c r="AB42" s="881">
        <v>3264</v>
      </c>
      <c r="AC42" s="884">
        <v>7330</v>
      </c>
      <c r="AD42" s="865">
        <v>10128</v>
      </c>
      <c r="AE42" s="845">
        <v>-10510</v>
      </c>
      <c r="AF42" s="887">
        <v>4309</v>
      </c>
      <c r="AG42" s="888">
        <v>84500</v>
      </c>
      <c r="AH42" s="865">
        <v>113638</v>
      </c>
      <c r="AI42" s="845">
        <v>26057</v>
      </c>
      <c r="AJ42" s="865">
        <v>29960</v>
      </c>
      <c r="AK42" s="845">
        <v>26741</v>
      </c>
      <c r="AL42" s="865">
        <v>63523</v>
      </c>
      <c r="AM42" s="845"/>
      <c r="AN42" s="889"/>
      <c r="AO42" s="891">
        <v>135802</v>
      </c>
      <c r="AP42" s="893">
        <v>122067</v>
      </c>
      <c r="AQ42" s="897">
        <v>-19</v>
      </c>
      <c r="AR42" s="900">
        <v>206</v>
      </c>
      <c r="AS42" s="846">
        <v>7449</v>
      </c>
      <c r="AT42" s="1027">
        <v>6162</v>
      </c>
      <c r="AU42" s="843">
        <v>118737</v>
      </c>
      <c r="AV42" s="865">
        <v>-29709</v>
      </c>
      <c r="AW42" s="843">
        <f t="shared" si="2"/>
        <v>261294</v>
      </c>
      <c r="AX42" s="864">
        <f t="shared" si="3"/>
        <v>333356</v>
      </c>
      <c r="AY42" s="845">
        <v>9749</v>
      </c>
      <c r="AZ42" s="865">
        <v>3526</v>
      </c>
      <c r="BA42" s="841">
        <f t="shared" si="0"/>
        <v>271043</v>
      </c>
      <c r="BB42" s="842">
        <f t="shared" si="1"/>
        <v>336882</v>
      </c>
    </row>
    <row r="43" spans="1:54" ht="17.25" x14ac:dyDescent="0.35">
      <c r="A43" s="350" t="s">
        <v>291</v>
      </c>
      <c r="B43" s="399"/>
      <c r="C43" s="853"/>
      <c r="D43" s="1244"/>
      <c r="E43" s="863"/>
      <c r="F43" s="865">
        <v>3268</v>
      </c>
      <c r="G43" s="845">
        <v>-24855</v>
      </c>
      <c r="H43" s="865"/>
      <c r="I43" s="845">
        <v>11622</v>
      </c>
      <c r="J43" s="865"/>
      <c r="K43" s="845"/>
      <c r="L43" s="865"/>
      <c r="M43" s="845">
        <v>-16330</v>
      </c>
      <c r="N43" s="873">
        <v>134398</v>
      </c>
      <c r="O43" s="875">
        <v>-2943</v>
      </c>
      <c r="P43" s="865"/>
      <c r="Q43" s="845">
        <v>3811</v>
      </c>
      <c r="R43" s="84"/>
      <c r="S43" s="6"/>
      <c r="T43" s="865">
        <v>15200</v>
      </c>
      <c r="U43" s="845"/>
      <c r="V43" s="865"/>
      <c r="W43" s="845"/>
      <c r="X43" s="865"/>
      <c r="Y43" s="845">
        <v>-530908</v>
      </c>
      <c r="Z43" s="865"/>
      <c r="AA43" s="845">
        <v>-15991</v>
      </c>
      <c r="AB43" s="881"/>
      <c r="AC43" s="884">
        <v>48781</v>
      </c>
      <c r="AD43" s="865"/>
      <c r="AE43" s="845">
        <v>26577</v>
      </c>
      <c r="AF43" s="887">
        <v>327743</v>
      </c>
      <c r="AG43" s="888">
        <v>96206</v>
      </c>
      <c r="AH43" s="865">
        <v>393317</v>
      </c>
      <c r="AI43" s="845">
        <v>5219</v>
      </c>
      <c r="AJ43" s="865">
        <v>81904</v>
      </c>
      <c r="AK43" s="845">
        <v>-20095</v>
      </c>
      <c r="AL43" s="865">
        <v>19126</v>
      </c>
      <c r="AM43" s="845"/>
      <c r="AN43" s="889"/>
      <c r="AO43" s="891">
        <v>1913952</v>
      </c>
      <c r="AP43" s="893">
        <v>2524945</v>
      </c>
      <c r="AQ43" s="897">
        <v>-4055</v>
      </c>
      <c r="AR43" s="900">
        <v>-3272</v>
      </c>
      <c r="AS43" s="846">
        <v>729</v>
      </c>
      <c r="AT43" s="1027">
        <v>7954</v>
      </c>
      <c r="AU43" s="843">
        <v>69669</v>
      </c>
      <c r="AV43" s="865">
        <v>729741</v>
      </c>
      <c r="AW43" s="843">
        <f t="shared" si="2"/>
        <v>1561389</v>
      </c>
      <c r="AX43" s="864">
        <f t="shared" si="3"/>
        <v>4234324</v>
      </c>
      <c r="AY43" s="845">
        <v>227341</v>
      </c>
      <c r="AZ43" s="865">
        <v>-904613</v>
      </c>
      <c r="BA43" s="841">
        <f t="shared" si="0"/>
        <v>1788730</v>
      </c>
      <c r="BB43" s="842">
        <f t="shared" si="1"/>
        <v>3329711</v>
      </c>
    </row>
    <row r="44" spans="1:54" ht="17.25" x14ac:dyDescent="0.35">
      <c r="A44" s="350" t="s">
        <v>294</v>
      </c>
      <c r="B44" s="399"/>
      <c r="C44" s="853"/>
      <c r="D44" s="1244"/>
      <c r="E44" s="863"/>
      <c r="F44" s="865"/>
      <c r="G44" s="845"/>
      <c r="H44" s="865"/>
      <c r="I44" s="845"/>
      <c r="J44" s="865"/>
      <c r="K44" s="845"/>
      <c r="L44" s="865"/>
      <c r="M44" s="845"/>
      <c r="N44" s="873"/>
      <c r="O44" s="875"/>
      <c r="P44" s="865"/>
      <c r="Q44" s="845"/>
      <c r="R44" s="84"/>
      <c r="S44" s="6"/>
      <c r="T44" s="865"/>
      <c r="U44" s="845"/>
      <c r="V44" s="865"/>
      <c r="W44" s="845"/>
      <c r="X44" s="865"/>
      <c r="Y44" s="845"/>
      <c r="Z44" s="865"/>
      <c r="AA44" s="845"/>
      <c r="AB44" s="881"/>
      <c r="AC44" s="884"/>
      <c r="AD44" s="865"/>
      <c r="AE44" s="845"/>
      <c r="AF44" s="887"/>
      <c r="AG44" s="888"/>
      <c r="AH44" s="865"/>
      <c r="AI44" s="845"/>
      <c r="AJ44" s="865"/>
      <c r="AK44" s="845"/>
      <c r="AL44" s="865"/>
      <c r="AM44" s="845"/>
      <c r="AN44" s="889"/>
      <c r="AO44" s="891"/>
      <c r="AP44" s="893"/>
      <c r="AQ44" s="897"/>
      <c r="AR44" s="900"/>
      <c r="AS44" s="846"/>
      <c r="AT44" s="1027"/>
      <c r="AU44" s="843"/>
      <c r="AV44" s="865"/>
      <c r="AW44" s="843">
        <f t="shared" si="2"/>
        <v>0</v>
      </c>
      <c r="AX44" s="864">
        <f t="shared" si="3"/>
        <v>0</v>
      </c>
      <c r="AY44" s="845"/>
      <c r="AZ44" s="865"/>
      <c r="BA44" s="841">
        <f t="shared" si="0"/>
        <v>0</v>
      </c>
      <c r="BB44" s="842">
        <f t="shared" si="1"/>
        <v>0</v>
      </c>
    </row>
    <row r="45" spans="1:54" s="573" customFormat="1" ht="18" x14ac:dyDescent="0.35">
      <c r="A45" s="395" t="s">
        <v>263</v>
      </c>
      <c r="B45" s="572"/>
      <c r="C45" s="856">
        <v>1493165</v>
      </c>
      <c r="D45" s="1244">
        <v>1471145</v>
      </c>
      <c r="E45" s="863">
        <v>71433</v>
      </c>
      <c r="F45" s="865">
        <v>84676</v>
      </c>
      <c r="G45" s="845">
        <v>179471</v>
      </c>
      <c r="H45" s="865"/>
      <c r="I45" s="845">
        <v>2090907</v>
      </c>
      <c r="J45" s="865"/>
      <c r="K45" s="845">
        <v>273200</v>
      </c>
      <c r="L45" s="865"/>
      <c r="M45" s="845">
        <v>702339</v>
      </c>
      <c r="N45" s="873">
        <v>728372</v>
      </c>
      <c r="O45" s="875">
        <v>147139</v>
      </c>
      <c r="P45" s="865"/>
      <c r="Q45" s="845">
        <v>152971</v>
      </c>
      <c r="R45" s="285">
        <v>152322</v>
      </c>
      <c r="S45" s="776"/>
      <c r="T45" s="865">
        <v>419070</v>
      </c>
      <c r="U45" s="845">
        <v>165710</v>
      </c>
      <c r="V45" s="865">
        <v>140871</v>
      </c>
      <c r="W45" s="845">
        <v>5575778</v>
      </c>
      <c r="X45" s="865">
        <v>5654528</v>
      </c>
      <c r="Y45" s="845">
        <v>4082112</v>
      </c>
      <c r="Z45" s="865">
        <v>5514260</v>
      </c>
      <c r="AA45" s="845">
        <v>239180</v>
      </c>
      <c r="AB45" s="883">
        <v>287673</v>
      </c>
      <c r="AC45" s="886">
        <v>596838</v>
      </c>
      <c r="AD45" s="865">
        <v>588940</v>
      </c>
      <c r="AE45" s="845">
        <v>1364927</v>
      </c>
      <c r="AF45" s="865">
        <v>1454092</v>
      </c>
      <c r="AG45" s="845">
        <v>2503949</v>
      </c>
      <c r="AH45" s="865">
        <v>2573537</v>
      </c>
      <c r="AI45" s="845">
        <v>841609</v>
      </c>
      <c r="AJ45" s="865">
        <v>829503</v>
      </c>
      <c r="AK45" s="845">
        <v>544690</v>
      </c>
      <c r="AL45" s="865">
        <v>610717</v>
      </c>
      <c r="AM45" s="845"/>
      <c r="AN45" s="890"/>
      <c r="AO45" s="892">
        <v>7129056</v>
      </c>
      <c r="AP45" s="895">
        <v>7510167</v>
      </c>
      <c r="AQ45" s="898">
        <v>215109</v>
      </c>
      <c r="AR45" s="901">
        <v>228262</v>
      </c>
      <c r="AS45" s="902">
        <v>544596</v>
      </c>
      <c r="AT45" s="1026">
        <v>437009</v>
      </c>
      <c r="AU45" s="886">
        <v>1668398</v>
      </c>
      <c r="AV45" s="865">
        <v>1473702</v>
      </c>
      <c r="AW45" s="843">
        <f t="shared" si="2"/>
        <v>30582577</v>
      </c>
      <c r="AX45" s="864">
        <f t="shared" si="3"/>
        <v>30158846</v>
      </c>
      <c r="AY45" s="845">
        <v>68595951</v>
      </c>
      <c r="AZ45" s="865">
        <v>65474251</v>
      </c>
      <c r="BA45" s="841">
        <f t="shared" si="0"/>
        <v>99178528</v>
      </c>
      <c r="BB45" s="842">
        <f t="shared" si="1"/>
        <v>95633097</v>
      </c>
    </row>
    <row r="46" spans="1:54" s="573" customFormat="1" ht="18" x14ac:dyDescent="0.35">
      <c r="A46" s="395" t="s">
        <v>264</v>
      </c>
      <c r="B46" s="572"/>
      <c r="C46" s="856">
        <v>29290</v>
      </c>
      <c r="D46" s="1244">
        <v>7555</v>
      </c>
      <c r="E46" s="863">
        <v>-19747</v>
      </c>
      <c r="F46" s="865">
        <v>-25339</v>
      </c>
      <c r="G46" s="845">
        <v>1632</v>
      </c>
      <c r="H46" s="865"/>
      <c r="I46" s="845">
        <v>-271097</v>
      </c>
      <c r="J46" s="865"/>
      <c r="K46" s="845">
        <v>10806</v>
      </c>
      <c r="L46" s="865"/>
      <c r="M46" s="845">
        <v>1528</v>
      </c>
      <c r="N46" s="873">
        <v>483</v>
      </c>
      <c r="O46" s="875">
        <v>6602</v>
      </c>
      <c r="P46" s="865"/>
      <c r="Q46" s="845">
        <v>2966</v>
      </c>
      <c r="R46" s="84">
        <v>993</v>
      </c>
      <c r="S46" s="6"/>
      <c r="T46" s="865">
        <v>13662</v>
      </c>
      <c r="U46" s="845">
        <v>310</v>
      </c>
      <c r="V46" s="865">
        <v>3179</v>
      </c>
      <c r="W46" s="845">
        <v>137267</v>
      </c>
      <c r="X46" s="865">
        <v>95966</v>
      </c>
      <c r="Y46" s="845">
        <v>248636</v>
      </c>
      <c r="Z46" s="865">
        <v>235652</v>
      </c>
      <c r="AA46" s="845">
        <v>16532</v>
      </c>
      <c r="AB46" s="883">
        <v>13058</v>
      </c>
      <c r="AC46" s="886">
        <v>33438</v>
      </c>
      <c r="AD46" s="865">
        <v>32161</v>
      </c>
      <c r="AE46" s="845">
        <v>86306</v>
      </c>
      <c r="AF46" s="865">
        <v>25545</v>
      </c>
      <c r="AG46" s="845">
        <v>59971</v>
      </c>
      <c r="AH46" s="865">
        <v>41629</v>
      </c>
      <c r="AI46" s="845">
        <v>9983</v>
      </c>
      <c r="AJ46" s="865">
        <v>25188</v>
      </c>
      <c r="AK46" s="845">
        <v>16858</v>
      </c>
      <c r="AL46" s="865">
        <v>20920</v>
      </c>
      <c r="AM46" s="845"/>
      <c r="AN46" s="890"/>
      <c r="AO46" s="892">
        <v>285625</v>
      </c>
      <c r="AP46" s="895">
        <v>188375</v>
      </c>
      <c r="AQ46" s="898">
        <v>15310</v>
      </c>
      <c r="AR46" s="901">
        <v>-7113</v>
      </c>
      <c r="AS46" s="902">
        <v>9543</v>
      </c>
      <c r="AT46" s="1026">
        <v>2977</v>
      </c>
      <c r="AU46" s="886">
        <v>159454</v>
      </c>
      <c r="AV46" s="865">
        <v>64147</v>
      </c>
      <c r="AW46" s="843">
        <f t="shared" si="2"/>
        <v>841213</v>
      </c>
      <c r="AX46" s="864">
        <f t="shared" si="3"/>
        <v>739038</v>
      </c>
      <c r="AY46" s="845">
        <v>3786142</v>
      </c>
      <c r="AZ46" s="865">
        <v>570651</v>
      </c>
      <c r="BA46" s="841">
        <f t="shared" si="0"/>
        <v>4627355</v>
      </c>
      <c r="BB46" s="842">
        <f t="shared" si="1"/>
        <v>1309689</v>
      </c>
    </row>
    <row r="47" spans="1:54" ht="17.25" x14ac:dyDescent="0.35">
      <c r="A47" s="395" t="s">
        <v>377</v>
      </c>
      <c r="B47" s="399"/>
      <c r="C47" s="853"/>
      <c r="D47" s="1244"/>
      <c r="E47" s="863"/>
      <c r="F47" s="864"/>
      <c r="G47" s="843"/>
      <c r="H47" s="864"/>
      <c r="I47" s="843"/>
      <c r="J47" s="864"/>
      <c r="K47" s="843"/>
      <c r="L47" s="864"/>
      <c r="M47" s="843"/>
      <c r="N47" s="872"/>
      <c r="O47" s="874"/>
      <c r="P47" s="864"/>
      <c r="Q47" s="843"/>
      <c r="R47" s="84"/>
      <c r="S47" s="6"/>
      <c r="T47" s="864"/>
      <c r="U47" s="843"/>
      <c r="V47" s="864"/>
      <c r="W47" s="843"/>
      <c r="X47" s="864"/>
      <c r="Y47" s="843">
        <v>-18423</v>
      </c>
      <c r="Z47" s="864">
        <v>-16615</v>
      </c>
      <c r="AA47" s="843">
        <v>2600</v>
      </c>
      <c r="AB47" s="882">
        <v>2317</v>
      </c>
      <c r="AC47" s="885"/>
      <c r="AD47" s="864"/>
      <c r="AE47" s="843"/>
      <c r="AF47" s="864"/>
      <c r="AG47" s="843"/>
      <c r="AH47" s="864"/>
      <c r="AI47" s="843"/>
      <c r="AJ47" s="864"/>
      <c r="AK47" s="843"/>
      <c r="AL47" s="864"/>
      <c r="AM47" s="843"/>
      <c r="AN47" s="889"/>
      <c r="AO47" s="891"/>
      <c r="AP47" s="895"/>
      <c r="AQ47" s="898"/>
      <c r="AR47" s="900"/>
      <c r="AS47" s="846"/>
      <c r="AT47" s="1024"/>
      <c r="AU47" s="885"/>
      <c r="AV47" s="864"/>
      <c r="AW47" s="843">
        <f t="shared" si="2"/>
        <v>-15823</v>
      </c>
      <c r="AX47" s="864">
        <f t="shared" si="3"/>
        <v>-14298</v>
      </c>
      <c r="AY47" s="845"/>
      <c r="AZ47" s="864"/>
      <c r="BA47" s="841">
        <f t="shared" si="0"/>
        <v>-15823</v>
      </c>
      <c r="BB47" s="842">
        <f t="shared" si="1"/>
        <v>-14298</v>
      </c>
    </row>
    <row r="48" spans="1:54" ht="17.25" x14ac:dyDescent="0.35">
      <c r="A48" s="395" t="s">
        <v>265</v>
      </c>
      <c r="B48" s="399"/>
      <c r="C48" s="853"/>
      <c r="D48" s="1243"/>
      <c r="E48" s="862"/>
      <c r="F48" s="864"/>
      <c r="G48" s="843"/>
      <c r="H48" s="864"/>
      <c r="I48" s="843"/>
      <c r="J48" s="864"/>
      <c r="K48" s="843"/>
      <c r="L48" s="864"/>
      <c r="M48" s="843"/>
      <c r="N48" s="872"/>
      <c r="O48" s="874"/>
      <c r="P48" s="864"/>
      <c r="Q48" s="843"/>
      <c r="R48" s="190"/>
      <c r="S48" s="1"/>
      <c r="T48" s="864"/>
      <c r="U48" s="843"/>
      <c r="V48" s="864"/>
      <c r="W48" s="843"/>
      <c r="X48" s="864"/>
      <c r="Y48" s="843"/>
      <c r="Z48" s="864"/>
      <c r="AA48" s="843"/>
      <c r="AB48" s="882"/>
      <c r="AC48" s="885"/>
      <c r="AD48" s="864"/>
      <c r="AE48" s="843"/>
      <c r="AF48" s="864"/>
      <c r="AG48" s="843"/>
      <c r="AH48" s="864"/>
      <c r="AI48" s="843"/>
      <c r="AJ48" s="864"/>
      <c r="AK48" s="843"/>
      <c r="AL48" s="864"/>
      <c r="AM48" s="843"/>
      <c r="AN48" s="889"/>
      <c r="AO48" s="891"/>
      <c r="AP48" s="894"/>
      <c r="AQ48" s="853"/>
      <c r="AR48" s="900"/>
      <c r="AS48" s="846"/>
      <c r="AT48" s="1024"/>
      <c r="AU48" s="885"/>
      <c r="AV48" s="864"/>
      <c r="AW48" s="843">
        <f t="shared" si="2"/>
        <v>0</v>
      </c>
      <c r="AX48" s="864">
        <f t="shared" si="3"/>
        <v>0</v>
      </c>
      <c r="AY48" s="845"/>
      <c r="AZ48" s="864"/>
      <c r="BA48" s="841">
        <f t="shared" si="0"/>
        <v>0</v>
      </c>
      <c r="BB48" s="842">
        <f t="shared" si="1"/>
        <v>0</v>
      </c>
    </row>
    <row r="49" spans="1:54" ht="17.25" x14ac:dyDescent="0.35">
      <c r="A49" s="395" t="s">
        <v>298</v>
      </c>
      <c r="B49" s="399"/>
      <c r="C49" s="853"/>
      <c r="D49" s="1243"/>
      <c r="E49" s="862"/>
      <c r="F49" s="864"/>
      <c r="G49" s="843"/>
      <c r="H49" s="864"/>
      <c r="I49" s="843"/>
      <c r="J49" s="864"/>
      <c r="K49" s="843"/>
      <c r="L49" s="864"/>
      <c r="M49" s="843"/>
      <c r="N49" s="872"/>
      <c r="O49" s="874"/>
      <c r="P49" s="864"/>
      <c r="Q49" s="843"/>
      <c r="R49" s="190"/>
      <c r="S49" s="1"/>
      <c r="T49" s="864"/>
      <c r="U49" s="843"/>
      <c r="V49" s="864"/>
      <c r="W49" s="843"/>
      <c r="X49" s="864"/>
      <c r="Y49" s="843"/>
      <c r="Z49" s="864"/>
      <c r="AA49" s="843"/>
      <c r="AB49" s="882"/>
      <c r="AC49" s="885"/>
      <c r="AD49" s="864"/>
      <c r="AE49" s="843"/>
      <c r="AF49" s="864"/>
      <c r="AG49" s="843"/>
      <c r="AH49" s="864"/>
      <c r="AI49" s="843"/>
      <c r="AJ49" s="864"/>
      <c r="AK49" s="843"/>
      <c r="AL49" s="864"/>
      <c r="AM49" s="843"/>
      <c r="AN49" s="889"/>
      <c r="AO49" s="891"/>
      <c r="AP49" s="894"/>
      <c r="AQ49" s="853"/>
      <c r="AR49" s="900"/>
      <c r="AS49" s="846"/>
      <c r="AT49" s="1024"/>
      <c r="AU49" s="885"/>
      <c r="AV49" s="864"/>
      <c r="AW49" s="843">
        <f t="shared" si="2"/>
        <v>0</v>
      </c>
      <c r="AX49" s="864">
        <f t="shared" si="3"/>
        <v>0</v>
      </c>
      <c r="AY49" s="845"/>
      <c r="AZ49" s="864"/>
      <c r="BA49" s="841">
        <f t="shared" si="0"/>
        <v>0</v>
      </c>
      <c r="BB49" s="842">
        <f t="shared" si="1"/>
        <v>0</v>
      </c>
    </row>
    <row r="50" spans="1:54" ht="17.25" x14ac:dyDescent="0.35">
      <c r="A50" s="350" t="s">
        <v>266</v>
      </c>
      <c r="B50" s="399"/>
      <c r="C50" s="853"/>
      <c r="D50" s="1243"/>
      <c r="E50" s="862"/>
      <c r="F50" s="864"/>
      <c r="G50" s="843"/>
      <c r="H50" s="864"/>
      <c r="I50" s="843"/>
      <c r="J50" s="864"/>
      <c r="K50" s="843"/>
      <c r="L50" s="864"/>
      <c r="M50" s="843"/>
      <c r="N50" s="872"/>
      <c r="O50" s="874"/>
      <c r="P50" s="864"/>
      <c r="Q50" s="843"/>
      <c r="R50" s="190"/>
      <c r="S50" s="1"/>
      <c r="T50" s="864"/>
      <c r="U50" s="843"/>
      <c r="V50" s="864"/>
      <c r="W50" s="843"/>
      <c r="X50" s="864"/>
      <c r="Y50" s="843"/>
      <c r="Z50" s="864"/>
      <c r="AA50" s="843"/>
      <c r="AB50" s="882"/>
      <c r="AC50" s="885"/>
      <c r="AD50" s="864"/>
      <c r="AE50" s="843"/>
      <c r="AF50" s="864"/>
      <c r="AG50" s="843">
        <v>79962</v>
      </c>
      <c r="AH50" s="864">
        <v>53304</v>
      </c>
      <c r="AI50" s="843"/>
      <c r="AJ50" s="864"/>
      <c r="AK50" s="843"/>
      <c r="AL50" s="864"/>
      <c r="AM50" s="843"/>
      <c r="AN50" s="889"/>
      <c r="AO50" s="891"/>
      <c r="AP50" s="893"/>
      <c r="AQ50" s="897"/>
      <c r="AR50" s="900"/>
      <c r="AS50" s="846"/>
      <c r="AT50" s="1024"/>
      <c r="AU50" s="885"/>
      <c r="AV50" s="864"/>
      <c r="AW50" s="843">
        <f t="shared" si="2"/>
        <v>79962</v>
      </c>
      <c r="AX50" s="864">
        <f t="shared" si="3"/>
        <v>53304</v>
      </c>
      <c r="AY50" s="845"/>
      <c r="AZ50" s="864"/>
      <c r="BA50" s="841">
        <f t="shared" si="0"/>
        <v>79962</v>
      </c>
      <c r="BB50" s="842">
        <f t="shared" si="1"/>
        <v>53304</v>
      </c>
    </row>
    <row r="51" spans="1:54" ht="17.25" x14ac:dyDescent="0.35">
      <c r="A51" s="350" t="s">
        <v>444</v>
      </c>
      <c r="B51" s="399"/>
      <c r="C51" s="853"/>
      <c r="D51" s="1243"/>
      <c r="E51" s="862"/>
      <c r="F51" s="864"/>
      <c r="G51" s="843"/>
      <c r="H51" s="864"/>
      <c r="I51" s="843"/>
      <c r="J51" s="864"/>
      <c r="K51" s="843"/>
      <c r="L51" s="864"/>
      <c r="M51" s="843"/>
      <c r="N51" s="872"/>
      <c r="O51" s="874"/>
      <c r="P51" s="864"/>
      <c r="Q51" s="843"/>
      <c r="R51" s="190"/>
      <c r="S51" s="1"/>
      <c r="T51" s="864"/>
      <c r="U51" s="843"/>
      <c r="V51" s="864"/>
      <c r="W51" s="843"/>
      <c r="X51" s="864"/>
      <c r="Y51" s="843">
        <v>230213</v>
      </c>
      <c r="Z51" s="864"/>
      <c r="AA51" s="843"/>
      <c r="AB51" s="882"/>
      <c r="AC51" s="885"/>
      <c r="AD51" s="864"/>
      <c r="AE51" s="843"/>
      <c r="AF51" s="864"/>
      <c r="AG51" s="843"/>
      <c r="AH51" s="864"/>
      <c r="AI51" s="843"/>
      <c r="AJ51" s="864"/>
      <c r="AK51" s="843"/>
      <c r="AL51" s="864"/>
      <c r="AM51" s="843"/>
      <c r="AN51" s="889"/>
      <c r="AO51" s="891"/>
      <c r="AP51" s="893"/>
      <c r="AQ51" s="897"/>
      <c r="AR51" s="900"/>
      <c r="AS51" s="846"/>
      <c r="AT51" s="1024"/>
      <c r="AU51" s="885"/>
      <c r="AV51" s="864"/>
      <c r="AW51" s="843"/>
      <c r="AX51" s="864"/>
      <c r="AY51" s="845"/>
      <c r="AZ51" s="864"/>
      <c r="BA51" s="841"/>
      <c r="BB51" s="842"/>
    </row>
    <row r="52" spans="1:54" ht="17.25" x14ac:dyDescent="0.35">
      <c r="A52" s="395" t="s">
        <v>141</v>
      </c>
      <c r="B52" s="399"/>
      <c r="C52" s="853"/>
      <c r="D52" s="1244"/>
      <c r="E52" s="863"/>
      <c r="F52" s="865"/>
      <c r="G52" s="845"/>
      <c r="H52" s="865"/>
      <c r="I52" s="845"/>
      <c r="J52" s="865"/>
      <c r="K52" s="845"/>
      <c r="L52" s="865"/>
      <c r="M52" s="845"/>
      <c r="N52" s="873"/>
      <c r="O52" s="875"/>
      <c r="P52" s="865"/>
      <c r="Q52" s="845"/>
      <c r="R52" s="84"/>
      <c r="S52" s="6"/>
      <c r="T52" s="865"/>
      <c r="U52" s="845"/>
      <c r="V52" s="865"/>
      <c r="W52" s="845"/>
      <c r="X52" s="865"/>
      <c r="Y52" s="845"/>
      <c r="Z52" s="865"/>
      <c r="AA52" s="845"/>
      <c r="AB52" s="864"/>
      <c r="AC52" s="843"/>
      <c r="AD52" s="865"/>
      <c r="AE52" s="845"/>
      <c r="AF52" s="887"/>
      <c r="AG52" s="888"/>
      <c r="AH52" s="865"/>
      <c r="AI52" s="845"/>
      <c r="AJ52" s="865"/>
      <c r="AK52" s="845"/>
      <c r="AL52" s="865"/>
      <c r="AM52" s="845"/>
      <c r="AN52" s="889"/>
      <c r="AO52" s="891"/>
      <c r="AP52" s="894"/>
      <c r="AQ52" s="853"/>
      <c r="AR52" s="900"/>
      <c r="AS52" s="846"/>
      <c r="AT52" s="1027"/>
      <c r="AU52" s="843"/>
      <c r="AV52" s="865"/>
      <c r="AW52" s="843">
        <f t="shared" si="2"/>
        <v>0</v>
      </c>
      <c r="AX52" s="864">
        <f t="shared" si="3"/>
        <v>0</v>
      </c>
      <c r="AY52" s="845"/>
      <c r="AZ52" s="865"/>
      <c r="BA52" s="841">
        <f t="shared" si="0"/>
        <v>0</v>
      </c>
      <c r="BB52" s="842">
        <f t="shared" si="1"/>
        <v>0</v>
      </c>
    </row>
    <row r="53" spans="1:54" ht="17.25" x14ac:dyDescent="0.35">
      <c r="A53" s="350" t="s">
        <v>267</v>
      </c>
      <c r="B53" s="399"/>
      <c r="C53" s="853">
        <v>29290</v>
      </c>
      <c r="D53" s="1243">
        <v>7555</v>
      </c>
      <c r="E53" s="862">
        <v>323</v>
      </c>
      <c r="F53" s="864">
        <v>303</v>
      </c>
      <c r="G53" s="843">
        <v>1598</v>
      </c>
      <c r="H53" s="864"/>
      <c r="I53" s="843">
        <v>108967</v>
      </c>
      <c r="J53" s="864"/>
      <c r="K53" s="843">
        <v>7531</v>
      </c>
      <c r="L53" s="864"/>
      <c r="M53" s="843">
        <v>16959</v>
      </c>
      <c r="N53" s="872">
        <v>17769</v>
      </c>
      <c r="O53" s="874">
        <v>5483</v>
      </c>
      <c r="P53" s="864"/>
      <c r="Q53" s="843">
        <v>2012</v>
      </c>
      <c r="R53" s="877">
        <v>658</v>
      </c>
      <c r="S53" s="95"/>
      <c r="T53" s="864">
        <v>7851</v>
      </c>
      <c r="U53" s="843">
        <v>838</v>
      </c>
      <c r="V53" s="864">
        <v>1034</v>
      </c>
      <c r="W53" s="843">
        <v>148083</v>
      </c>
      <c r="X53" s="864">
        <v>100934</v>
      </c>
      <c r="Y53" s="843">
        <v>201618</v>
      </c>
      <c r="Z53" s="864">
        <v>216022</v>
      </c>
      <c r="AA53" s="843">
        <v>8111</v>
      </c>
      <c r="AB53" s="882">
        <v>5881</v>
      </c>
      <c r="AC53" s="885">
        <v>31663</v>
      </c>
      <c r="AD53" s="864">
        <v>16084</v>
      </c>
      <c r="AE53" s="843">
        <v>87509</v>
      </c>
      <c r="AF53" s="864">
        <v>25188</v>
      </c>
      <c r="AG53" s="1023">
        <v>45626</v>
      </c>
      <c r="AH53" s="864">
        <v>11675</v>
      </c>
      <c r="AI53" s="843">
        <v>10700</v>
      </c>
      <c r="AJ53" s="864">
        <v>5323</v>
      </c>
      <c r="AK53" s="843">
        <v>15505</v>
      </c>
      <c r="AL53" s="864">
        <v>18236</v>
      </c>
      <c r="AM53" s="843"/>
      <c r="AN53" s="889"/>
      <c r="AO53" s="891">
        <v>270715</v>
      </c>
      <c r="AP53" s="893">
        <v>173243</v>
      </c>
      <c r="AQ53" s="897">
        <v>11508</v>
      </c>
      <c r="AR53" s="900">
        <v>2257</v>
      </c>
      <c r="AS53" s="846">
        <v>12209</v>
      </c>
      <c r="AT53" s="1024">
        <v>25948</v>
      </c>
      <c r="AU53" s="885">
        <v>160476</v>
      </c>
      <c r="AV53" s="864">
        <v>55993</v>
      </c>
      <c r="AW53" s="843">
        <f t="shared" si="2"/>
        <v>1176724</v>
      </c>
      <c r="AX53" s="864">
        <f t="shared" si="3"/>
        <v>691954</v>
      </c>
      <c r="AY53" s="845">
        <v>3604887</v>
      </c>
      <c r="AZ53" s="864">
        <v>387541</v>
      </c>
      <c r="BA53" s="841">
        <f t="shared" si="0"/>
        <v>4781611</v>
      </c>
      <c r="BB53" s="842">
        <f t="shared" si="1"/>
        <v>1079495</v>
      </c>
    </row>
    <row r="54" spans="1:54" ht="17.25" x14ac:dyDescent="0.35">
      <c r="A54" s="350" t="s">
        <v>289</v>
      </c>
      <c r="B54" s="399"/>
      <c r="C54" s="853"/>
      <c r="D54" s="1243"/>
      <c r="E54" s="862"/>
      <c r="F54" s="864">
        <v>-27590</v>
      </c>
      <c r="G54" s="843"/>
      <c r="H54" s="864"/>
      <c r="I54" s="843"/>
      <c r="J54" s="864"/>
      <c r="K54" s="843"/>
      <c r="L54" s="864"/>
      <c r="M54" s="843"/>
      <c r="N54" s="872"/>
      <c r="O54" s="874"/>
      <c r="P54" s="864"/>
      <c r="Q54" s="843"/>
      <c r="R54" s="877"/>
      <c r="S54" s="95"/>
      <c r="T54" s="864"/>
      <c r="U54" s="843"/>
      <c r="V54" s="864"/>
      <c r="W54" s="843"/>
      <c r="X54" s="864"/>
      <c r="Y54" s="843"/>
      <c r="Z54" s="864"/>
      <c r="AA54" s="843"/>
      <c r="AB54" s="882"/>
      <c r="AC54" s="885"/>
      <c r="AD54" s="864"/>
      <c r="AE54" s="843"/>
      <c r="AF54" s="864"/>
      <c r="AG54" s="843"/>
      <c r="AH54" s="864"/>
      <c r="AI54" s="843"/>
      <c r="AJ54" s="864"/>
      <c r="AK54" s="843"/>
      <c r="AL54" s="864"/>
      <c r="AM54" s="843"/>
      <c r="AN54" s="889"/>
      <c r="AO54" s="891"/>
      <c r="AP54" s="893"/>
      <c r="AQ54" s="897"/>
      <c r="AR54" s="900"/>
      <c r="AS54" s="846"/>
      <c r="AT54" s="1024"/>
      <c r="AU54" s="885"/>
      <c r="AV54" s="864"/>
      <c r="AW54" s="843">
        <f t="shared" si="2"/>
        <v>0</v>
      </c>
      <c r="AX54" s="864">
        <f t="shared" si="3"/>
        <v>-27590</v>
      </c>
      <c r="AY54" s="845"/>
      <c r="AZ54" s="864"/>
      <c r="BA54" s="841">
        <f t="shared" si="0"/>
        <v>0</v>
      </c>
      <c r="BB54" s="842">
        <f t="shared" si="1"/>
        <v>-27590</v>
      </c>
    </row>
    <row r="55" spans="1:54" ht="17.25" x14ac:dyDescent="0.35">
      <c r="A55" s="350" t="s">
        <v>268</v>
      </c>
      <c r="B55" s="399"/>
      <c r="C55" s="853"/>
      <c r="D55" s="1243"/>
      <c r="E55" s="862">
        <v>-20187</v>
      </c>
      <c r="F55" s="864"/>
      <c r="G55" s="843"/>
      <c r="H55" s="864"/>
      <c r="I55" s="843"/>
      <c r="J55" s="864"/>
      <c r="K55" s="843"/>
      <c r="L55" s="864"/>
      <c r="M55" s="843"/>
      <c r="N55" s="872"/>
      <c r="O55" s="874"/>
      <c r="P55" s="864"/>
      <c r="Q55" s="843"/>
      <c r="R55" s="877"/>
      <c r="S55" s="95"/>
      <c r="T55" s="864"/>
      <c r="U55" s="843"/>
      <c r="V55" s="864"/>
      <c r="W55" s="843"/>
      <c r="X55" s="864"/>
      <c r="Y55" s="843"/>
      <c r="Z55" s="864"/>
      <c r="AA55" s="843"/>
      <c r="AB55" s="882"/>
      <c r="AC55" s="885"/>
      <c r="AD55" s="864"/>
      <c r="AE55" s="843"/>
      <c r="AF55" s="864"/>
      <c r="AG55" s="843"/>
      <c r="AH55" s="864"/>
      <c r="AI55" s="843"/>
      <c r="AJ55" s="864">
        <v>19865</v>
      </c>
      <c r="AK55" s="843"/>
      <c r="AL55" s="864"/>
      <c r="AM55" s="843"/>
      <c r="AN55" s="889"/>
      <c r="AO55" s="891"/>
      <c r="AP55" s="894"/>
      <c r="AQ55" s="853"/>
      <c r="AR55" s="900"/>
      <c r="AS55" s="846"/>
      <c r="AT55" s="1024"/>
      <c r="AU55" s="885"/>
      <c r="AV55" s="864"/>
      <c r="AW55" s="843">
        <f t="shared" si="2"/>
        <v>-20187</v>
      </c>
      <c r="AX55" s="864">
        <f t="shared" si="3"/>
        <v>19865</v>
      </c>
      <c r="AY55" s="845"/>
      <c r="AZ55" s="864"/>
      <c r="BA55" s="841">
        <f t="shared" si="0"/>
        <v>-20187</v>
      </c>
      <c r="BB55" s="842">
        <f t="shared" si="1"/>
        <v>19865</v>
      </c>
    </row>
    <row r="56" spans="1:54" ht="17.25" x14ac:dyDescent="0.35">
      <c r="A56" s="350" t="s">
        <v>269</v>
      </c>
      <c r="B56" s="399"/>
      <c r="C56" s="853"/>
      <c r="D56" s="1243"/>
      <c r="E56" s="862">
        <v>117</v>
      </c>
      <c r="F56" s="864">
        <v>1948</v>
      </c>
      <c r="G56" s="843">
        <v>34</v>
      </c>
      <c r="H56" s="864"/>
      <c r="I56" s="843">
        <v>9656</v>
      </c>
      <c r="J56" s="864"/>
      <c r="K56" s="843">
        <v>3275</v>
      </c>
      <c r="L56" s="864"/>
      <c r="M56" s="843">
        <v>-1112</v>
      </c>
      <c r="N56" s="872">
        <v>7534</v>
      </c>
      <c r="O56" s="874">
        <v>1119</v>
      </c>
      <c r="P56" s="864"/>
      <c r="Q56" s="843">
        <v>953</v>
      </c>
      <c r="R56" s="877">
        <v>334</v>
      </c>
      <c r="S56" s="95"/>
      <c r="T56" s="864">
        <v>5811</v>
      </c>
      <c r="U56" s="843">
        <v>-528</v>
      </c>
      <c r="V56" s="864">
        <v>2145</v>
      </c>
      <c r="W56" s="843">
        <v>-10816</v>
      </c>
      <c r="X56" s="864">
        <v>-4968</v>
      </c>
      <c r="Y56" s="843"/>
      <c r="Z56" s="864">
        <v>3014</v>
      </c>
      <c r="AA56" s="843">
        <v>5821</v>
      </c>
      <c r="AB56" s="882">
        <v>4860</v>
      </c>
      <c r="AC56" s="885">
        <v>1774</v>
      </c>
      <c r="AD56" s="864">
        <v>16077</v>
      </c>
      <c r="AE56" s="843">
        <v>2855</v>
      </c>
      <c r="AF56" s="864">
        <v>4404</v>
      </c>
      <c r="AG56" s="843">
        <v>34336</v>
      </c>
      <c r="AH56" s="864"/>
      <c r="AI56" s="843">
        <v>-717</v>
      </c>
      <c r="AJ56" s="864">
        <v>25188</v>
      </c>
      <c r="AK56" s="843">
        <v>1354</v>
      </c>
      <c r="AL56" s="864">
        <v>2684</v>
      </c>
      <c r="AM56" s="843"/>
      <c r="AN56" s="889"/>
      <c r="AO56" s="891">
        <v>14910</v>
      </c>
      <c r="AP56" s="893">
        <v>15132</v>
      </c>
      <c r="AQ56" s="897">
        <v>4032</v>
      </c>
      <c r="AR56" s="900">
        <v>-1230</v>
      </c>
      <c r="AS56" s="846">
        <v>499</v>
      </c>
      <c r="AT56" s="1024">
        <v>5077</v>
      </c>
      <c r="AU56" s="885"/>
      <c r="AV56" s="864"/>
      <c r="AW56" s="843">
        <f t="shared" si="2"/>
        <v>67562</v>
      </c>
      <c r="AX56" s="864">
        <f t="shared" si="3"/>
        <v>88010</v>
      </c>
      <c r="AY56" s="845">
        <v>207442</v>
      </c>
      <c r="AZ56" s="864">
        <v>183109</v>
      </c>
      <c r="BA56" s="841">
        <f t="shared" si="0"/>
        <v>275004</v>
      </c>
      <c r="BB56" s="842">
        <f t="shared" si="1"/>
        <v>271119</v>
      </c>
    </row>
    <row r="57" spans="1:54" s="573" customFormat="1" ht="18" x14ac:dyDescent="0.35">
      <c r="A57" s="395" t="s">
        <v>270</v>
      </c>
      <c r="B57" s="572"/>
      <c r="C57" s="856">
        <v>29290</v>
      </c>
      <c r="D57" s="1244">
        <v>7555</v>
      </c>
      <c r="E57" s="863">
        <v>-19747</v>
      </c>
      <c r="F57" s="865">
        <v>-25339</v>
      </c>
      <c r="G57" s="845">
        <v>1632</v>
      </c>
      <c r="H57" s="865"/>
      <c r="I57" s="845">
        <v>118623</v>
      </c>
      <c r="J57" s="865"/>
      <c r="K57" s="845">
        <v>10806</v>
      </c>
      <c r="L57" s="865"/>
      <c r="M57" s="845"/>
      <c r="N57" s="873">
        <v>25303</v>
      </c>
      <c r="O57" s="875">
        <v>6602</v>
      </c>
      <c r="P57" s="865"/>
      <c r="Q57" s="845">
        <v>2966</v>
      </c>
      <c r="R57" s="878">
        <v>993</v>
      </c>
      <c r="S57" s="880"/>
      <c r="T57" s="865">
        <v>13662</v>
      </c>
      <c r="U57" s="845">
        <v>310</v>
      </c>
      <c r="V57" s="865">
        <v>3179</v>
      </c>
      <c r="W57" s="845">
        <v>137267</v>
      </c>
      <c r="X57" s="865">
        <v>95966</v>
      </c>
      <c r="Y57" s="845">
        <v>230213</v>
      </c>
      <c r="Z57" s="865">
        <v>219036</v>
      </c>
      <c r="AA57" s="845">
        <v>13932</v>
      </c>
      <c r="AB57" s="883">
        <v>10741</v>
      </c>
      <c r="AC57" s="886"/>
      <c r="AD57" s="865">
        <v>32161</v>
      </c>
      <c r="AE57" s="845">
        <v>90364</v>
      </c>
      <c r="AF57" s="865">
        <v>29592</v>
      </c>
      <c r="AG57" s="845">
        <v>79962</v>
      </c>
      <c r="AH57" s="865">
        <v>53304</v>
      </c>
      <c r="AI57" s="845">
        <v>9983</v>
      </c>
      <c r="AJ57" s="865"/>
      <c r="AK57" s="845">
        <v>16858</v>
      </c>
      <c r="AL57" s="865">
        <v>20920</v>
      </c>
      <c r="AM57" s="845"/>
      <c r="AN57" s="890"/>
      <c r="AO57" s="892">
        <v>285625</v>
      </c>
      <c r="AP57" s="895">
        <v>188375</v>
      </c>
      <c r="AQ57" s="898">
        <v>15540</v>
      </c>
      <c r="AR57" s="901">
        <v>1026</v>
      </c>
      <c r="AS57" s="902">
        <v>12709</v>
      </c>
      <c r="AT57" s="1026">
        <v>31025</v>
      </c>
      <c r="AU57" s="886">
        <v>159454</v>
      </c>
      <c r="AV57" s="865">
        <v>64147</v>
      </c>
      <c r="AW57" s="843">
        <f t="shared" si="2"/>
        <v>1202389</v>
      </c>
      <c r="AX57" s="864">
        <f t="shared" si="3"/>
        <v>771646</v>
      </c>
      <c r="AY57" s="845">
        <v>3812329</v>
      </c>
      <c r="AZ57" s="865">
        <v>570651</v>
      </c>
      <c r="BA57" s="841">
        <f t="shared" si="0"/>
        <v>5014718</v>
      </c>
      <c r="BB57" s="842">
        <f t="shared" si="1"/>
        <v>1342297</v>
      </c>
    </row>
    <row r="58" spans="1:54" ht="17.25" x14ac:dyDescent="0.35">
      <c r="A58" s="350" t="s">
        <v>271</v>
      </c>
      <c r="B58" s="399"/>
      <c r="C58" s="853">
        <v>658</v>
      </c>
      <c r="D58" s="1244">
        <v>1028</v>
      </c>
      <c r="E58" s="863">
        <v>8</v>
      </c>
      <c r="F58" s="865">
        <v>15</v>
      </c>
      <c r="G58" s="845">
        <v>195</v>
      </c>
      <c r="H58" s="865"/>
      <c r="I58" s="845">
        <v>32878</v>
      </c>
      <c r="J58" s="865"/>
      <c r="K58" s="845">
        <v>2339</v>
      </c>
      <c r="L58" s="865"/>
      <c r="M58" s="845">
        <v>1346</v>
      </c>
      <c r="N58" s="873">
        <v>877</v>
      </c>
      <c r="O58" s="875">
        <v>3</v>
      </c>
      <c r="P58" s="865"/>
      <c r="Q58" s="845">
        <v>15</v>
      </c>
      <c r="R58" s="878">
        <v>4</v>
      </c>
      <c r="S58" s="880"/>
      <c r="T58" s="865"/>
      <c r="U58" s="845">
        <f>108+305</f>
        <v>413</v>
      </c>
      <c r="V58" s="865">
        <f>99+248</f>
        <v>347</v>
      </c>
      <c r="W58" s="845">
        <f>121718+79657</f>
        <v>201375</v>
      </c>
      <c r="X58" s="865">
        <f>71241+107271</f>
        <v>178512</v>
      </c>
      <c r="Y58" s="845">
        <v>21549</v>
      </c>
      <c r="Z58" s="865">
        <v>21354</v>
      </c>
      <c r="AA58" s="845">
        <v>76</v>
      </c>
      <c r="AB58" s="881">
        <v>119</v>
      </c>
      <c r="AC58" s="884"/>
      <c r="AD58" s="865"/>
      <c r="AE58" s="845">
        <v>7252</v>
      </c>
      <c r="AF58" s="887">
        <v>6825</v>
      </c>
      <c r="AG58" s="888">
        <v>271</v>
      </c>
      <c r="AH58" s="865">
        <v>378</v>
      </c>
      <c r="AI58" s="845">
        <v>186</v>
      </c>
      <c r="AJ58" s="865">
        <v>415</v>
      </c>
      <c r="AK58" s="845">
        <v>44</v>
      </c>
      <c r="AL58" s="865">
        <v>51</v>
      </c>
      <c r="AM58" s="845"/>
      <c r="AN58" s="889"/>
      <c r="AO58" s="891">
        <v>19728</v>
      </c>
      <c r="AP58" s="893">
        <v>10174</v>
      </c>
      <c r="AQ58" s="897">
        <v>37</v>
      </c>
      <c r="AR58" s="900">
        <v>39</v>
      </c>
      <c r="AS58" s="846">
        <v>3</v>
      </c>
      <c r="AT58" s="1027">
        <v>3</v>
      </c>
      <c r="AU58" s="843"/>
      <c r="AV58" s="865"/>
      <c r="AW58" s="843">
        <f t="shared" si="2"/>
        <v>288376</v>
      </c>
      <c r="AX58" s="864">
        <f t="shared" si="3"/>
        <v>220141</v>
      </c>
      <c r="AY58" s="845">
        <v>326407</v>
      </c>
      <c r="AZ58" s="865">
        <v>402730</v>
      </c>
      <c r="BA58" s="841">
        <f t="shared" si="0"/>
        <v>614783</v>
      </c>
      <c r="BB58" s="842">
        <f t="shared" si="1"/>
        <v>622871</v>
      </c>
    </row>
    <row r="59" spans="1:54" ht="17.25" x14ac:dyDescent="0.35">
      <c r="A59" s="350" t="s">
        <v>272</v>
      </c>
      <c r="B59" s="399"/>
      <c r="C59" s="853">
        <v>28406</v>
      </c>
      <c r="D59" s="1243">
        <v>27</v>
      </c>
      <c r="E59" s="862">
        <v>2902</v>
      </c>
      <c r="F59" s="864">
        <v>2706</v>
      </c>
      <c r="G59" s="843">
        <v>594</v>
      </c>
      <c r="H59" s="864"/>
      <c r="I59" s="843">
        <v>47611</v>
      </c>
      <c r="J59" s="864"/>
      <c r="K59" s="843">
        <v>8764</v>
      </c>
      <c r="L59" s="864"/>
      <c r="M59" s="843">
        <v>8021</v>
      </c>
      <c r="N59" s="872">
        <v>6920</v>
      </c>
      <c r="O59" s="874">
        <v>1120</v>
      </c>
      <c r="P59" s="864"/>
      <c r="Q59" s="843">
        <v>4350</v>
      </c>
      <c r="R59" s="877">
        <v>3909</v>
      </c>
      <c r="S59" s="95"/>
      <c r="T59" s="864"/>
      <c r="U59" s="843">
        <v>7540</v>
      </c>
      <c r="V59" s="864">
        <v>6212</v>
      </c>
      <c r="W59" s="843">
        <v>96459</v>
      </c>
      <c r="X59" s="864">
        <v>66188</v>
      </c>
      <c r="Y59" s="843">
        <v>69430</v>
      </c>
      <c r="Z59" s="864">
        <v>68349</v>
      </c>
      <c r="AA59" s="843">
        <v>8606</v>
      </c>
      <c r="AB59" s="882">
        <v>7956</v>
      </c>
      <c r="AC59" s="885">
        <v>24929</v>
      </c>
      <c r="AD59" s="864"/>
      <c r="AE59" s="843">
        <v>76711</v>
      </c>
      <c r="AF59" s="864">
        <v>61117</v>
      </c>
      <c r="AG59" s="843">
        <v>154471</v>
      </c>
      <c r="AH59" s="864">
        <v>141995</v>
      </c>
      <c r="AI59" s="843">
        <v>57015</v>
      </c>
      <c r="AJ59" s="864">
        <v>40386</v>
      </c>
      <c r="AK59" s="843">
        <v>22966</v>
      </c>
      <c r="AL59" s="864">
        <v>22821</v>
      </c>
      <c r="AM59" s="843"/>
      <c r="AN59" s="889"/>
      <c r="AO59" s="891">
        <v>171485</v>
      </c>
      <c r="AP59" s="894">
        <v>152098</v>
      </c>
      <c r="AQ59" s="853">
        <v>14902</v>
      </c>
      <c r="AR59" s="900">
        <v>11912</v>
      </c>
      <c r="AS59" s="846">
        <v>3205</v>
      </c>
      <c r="AT59" s="1024">
        <v>2993</v>
      </c>
      <c r="AU59" s="885">
        <v>90910</v>
      </c>
      <c r="AV59" s="864">
        <v>62011</v>
      </c>
      <c r="AW59" s="843">
        <f t="shared" si="2"/>
        <v>900397</v>
      </c>
      <c r="AX59" s="864">
        <f t="shared" si="3"/>
        <v>657600</v>
      </c>
      <c r="AY59" s="845">
        <v>4954000</v>
      </c>
      <c r="AZ59" s="864">
        <v>4827064</v>
      </c>
      <c r="BA59" s="841">
        <f t="shared" si="0"/>
        <v>5854397</v>
      </c>
      <c r="BB59" s="842">
        <f t="shared" si="1"/>
        <v>5484664</v>
      </c>
    </row>
    <row r="60" spans="1:54" ht="18" thickBot="1" x14ac:dyDescent="0.4">
      <c r="A60" s="580" t="s">
        <v>273</v>
      </c>
      <c r="B60" s="581"/>
      <c r="C60" s="857">
        <v>29290</v>
      </c>
      <c r="D60" s="1245">
        <v>26626</v>
      </c>
      <c r="E60" s="866">
        <v>-19747</v>
      </c>
      <c r="F60" s="867">
        <v>-25339</v>
      </c>
      <c r="G60" s="868">
        <v>1632</v>
      </c>
      <c r="H60" s="867"/>
      <c r="I60" s="868">
        <v>118623</v>
      </c>
      <c r="J60" s="867"/>
      <c r="K60" s="868">
        <v>10806</v>
      </c>
      <c r="L60" s="867"/>
      <c r="M60" s="868">
        <v>15847</v>
      </c>
      <c r="N60" s="904">
        <v>25303</v>
      </c>
      <c r="O60" s="905">
        <v>6602</v>
      </c>
      <c r="P60" s="867"/>
      <c r="Q60" s="868">
        <v>2966</v>
      </c>
      <c r="R60" s="906">
        <v>993</v>
      </c>
      <c r="S60" s="907"/>
      <c r="T60" s="867"/>
      <c r="U60" s="868">
        <v>310</v>
      </c>
      <c r="V60" s="867">
        <v>3179</v>
      </c>
      <c r="W60" s="868">
        <v>137267</v>
      </c>
      <c r="X60" s="867">
        <v>95966</v>
      </c>
      <c r="Y60" s="868">
        <v>230213</v>
      </c>
      <c r="Z60" s="867">
        <v>219037</v>
      </c>
      <c r="AA60" s="868">
        <v>13932</v>
      </c>
      <c r="AB60" s="908">
        <v>13058</v>
      </c>
      <c r="AC60" s="909">
        <v>33438</v>
      </c>
      <c r="AD60" s="867"/>
      <c r="AE60" s="868">
        <v>2855</v>
      </c>
      <c r="AF60" s="867">
        <v>4404</v>
      </c>
      <c r="AG60" s="868">
        <v>79962</v>
      </c>
      <c r="AH60" s="867">
        <v>53304</v>
      </c>
      <c r="AI60" s="868">
        <v>9983</v>
      </c>
      <c r="AJ60" s="867">
        <v>25188</v>
      </c>
      <c r="AK60" s="868">
        <v>16858</v>
      </c>
      <c r="AL60" s="867">
        <v>20920</v>
      </c>
      <c r="AM60" s="868"/>
      <c r="AN60" s="910"/>
      <c r="AO60" s="911">
        <v>285625</v>
      </c>
      <c r="AP60" s="912">
        <v>188375</v>
      </c>
      <c r="AQ60" s="913">
        <v>15540</v>
      </c>
      <c r="AR60" s="914">
        <v>1026</v>
      </c>
      <c r="AS60" s="847">
        <v>9543</v>
      </c>
      <c r="AT60" s="1028">
        <v>2977</v>
      </c>
      <c r="AU60" s="909">
        <v>159454</v>
      </c>
      <c r="AV60" s="914">
        <v>64147</v>
      </c>
      <c r="AW60" s="868">
        <f t="shared" si="2"/>
        <v>1160999</v>
      </c>
      <c r="AX60" s="867">
        <f t="shared" si="3"/>
        <v>719164</v>
      </c>
      <c r="AY60" s="915">
        <v>3786142</v>
      </c>
      <c r="AZ60" s="867">
        <v>570651</v>
      </c>
      <c r="BA60" s="916">
        <f t="shared" si="0"/>
        <v>4947141</v>
      </c>
      <c r="BB60" s="917">
        <f t="shared" si="1"/>
        <v>1289815</v>
      </c>
    </row>
    <row r="61" spans="1:54" s="1107" customFormat="1" ht="14.25" thickBot="1" x14ac:dyDescent="0.3">
      <c r="A61" s="1108" t="s">
        <v>274</v>
      </c>
      <c r="B61" s="1109"/>
      <c r="C61" s="1110">
        <v>58354</v>
      </c>
      <c r="D61" s="1246">
        <v>35236</v>
      </c>
      <c r="E61" s="1111">
        <v>-16837</v>
      </c>
      <c r="F61" s="1112">
        <v>-22618</v>
      </c>
      <c r="G61" s="1113">
        <v>2421</v>
      </c>
      <c r="H61" s="1112"/>
      <c r="I61" s="1113">
        <v>199112</v>
      </c>
      <c r="J61" s="1112"/>
      <c r="K61" s="1113">
        <v>21909</v>
      </c>
      <c r="L61" s="1112"/>
      <c r="M61" s="1113">
        <v>25214</v>
      </c>
      <c r="N61" s="1112">
        <v>33100</v>
      </c>
      <c r="O61" s="1113">
        <v>7725</v>
      </c>
      <c r="P61" s="1112"/>
      <c r="Q61" s="1113">
        <v>7330</v>
      </c>
      <c r="R61" s="1114">
        <v>4906</v>
      </c>
      <c r="S61" s="1115"/>
      <c r="T61" s="1112"/>
      <c r="U61" s="1113">
        <v>8263</v>
      </c>
      <c r="V61" s="1112">
        <v>9738</v>
      </c>
      <c r="W61" s="1113">
        <v>435102</v>
      </c>
      <c r="X61" s="1112">
        <v>340666</v>
      </c>
      <c r="Y61" s="1113">
        <v>321192</v>
      </c>
      <c r="Z61" s="1112">
        <v>308740</v>
      </c>
      <c r="AA61" s="1113">
        <v>22614</v>
      </c>
      <c r="AB61" s="1116">
        <v>21133</v>
      </c>
      <c r="AC61" s="1117">
        <v>58368</v>
      </c>
      <c r="AD61" s="1112">
        <v>61118</v>
      </c>
      <c r="AE61" s="1113">
        <v>86818</v>
      </c>
      <c r="AF61" s="1112">
        <v>72346</v>
      </c>
      <c r="AG61" s="1113">
        <v>234704</v>
      </c>
      <c r="AH61" s="1112">
        <v>195677</v>
      </c>
      <c r="AI61" s="1113">
        <v>67184</v>
      </c>
      <c r="AJ61" s="1112">
        <v>65989</v>
      </c>
      <c r="AK61" s="1113">
        <v>39868</v>
      </c>
      <c r="AL61" s="1112">
        <v>43792</v>
      </c>
      <c r="AM61" s="1113"/>
      <c r="AN61" s="1118"/>
      <c r="AO61" s="1119">
        <v>476838</v>
      </c>
      <c r="AP61" s="1120">
        <v>350647</v>
      </c>
      <c r="AQ61" s="1121">
        <v>6272</v>
      </c>
      <c r="AR61" s="1122">
        <v>12977</v>
      </c>
      <c r="AS61" s="1123">
        <v>12750</v>
      </c>
      <c r="AT61" s="1124">
        <v>5973</v>
      </c>
      <c r="AU61" s="1117">
        <v>250364</v>
      </c>
      <c r="AV61" s="1112">
        <v>126158</v>
      </c>
      <c r="AW61" s="1113">
        <f t="shared" si="2"/>
        <v>2325565</v>
      </c>
      <c r="AX61" s="1112">
        <f t="shared" si="3"/>
        <v>1665578</v>
      </c>
      <c r="AY61" s="1113">
        <v>9066550</v>
      </c>
      <c r="AZ61" s="1112">
        <v>5800446</v>
      </c>
      <c r="BA61" s="1125">
        <f t="shared" si="0"/>
        <v>11392115</v>
      </c>
      <c r="BB61" s="1126">
        <f t="shared" si="1"/>
        <v>7466024</v>
      </c>
    </row>
  </sheetData>
  <mergeCells count="2">
    <mergeCell ref="A1:BB1"/>
    <mergeCell ref="A2:A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BA42"/>
  <sheetViews>
    <sheetView workbookViewId="0">
      <pane xSplit="1" topLeftCell="B1" activePane="topRight" state="frozen"/>
      <selection pane="topRight" sqref="A1:XFD1048576"/>
    </sheetView>
  </sheetViews>
  <sheetFormatPr defaultRowHeight="12.75" x14ac:dyDescent="0.25"/>
  <cols>
    <col min="1" max="1" width="40" style="425" bestFit="1" customWidth="1"/>
    <col min="2" max="2" width="10.5703125" style="425" bestFit="1" customWidth="1"/>
    <col min="3" max="3" width="10.5703125" style="93" bestFit="1" customWidth="1"/>
    <col min="4" max="4" width="10.5703125" style="93" customWidth="1"/>
    <col min="5" max="18" width="10.5703125" style="93" bestFit="1" customWidth="1"/>
    <col min="19" max="19" width="10.5703125" style="93" customWidth="1"/>
    <col min="20" max="38" width="10.5703125" style="93" bestFit="1" customWidth="1"/>
    <col min="39" max="40" width="10.5703125" style="380" bestFit="1" customWidth="1"/>
    <col min="41" max="52" width="10.5703125" style="93" bestFit="1" customWidth="1"/>
    <col min="53" max="53" width="10.5703125" style="161" bestFit="1" customWidth="1"/>
    <col min="54" max="16384" width="9.140625" style="380"/>
  </cols>
  <sheetData>
    <row r="1" spans="1:53" ht="42.75" customHeight="1" thickBot="1" x14ac:dyDescent="0.4">
      <c r="A1" s="925" t="s">
        <v>429</v>
      </c>
      <c r="B1" s="1403" t="s">
        <v>158</v>
      </c>
      <c r="C1" s="1406"/>
      <c r="D1" s="1434" t="s">
        <v>159</v>
      </c>
      <c r="E1" s="1435"/>
      <c r="F1" s="1434" t="s">
        <v>160</v>
      </c>
      <c r="G1" s="1435"/>
      <c r="H1" s="1434" t="s">
        <v>161</v>
      </c>
      <c r="I1" s="1435"/>
      <c r="J1" s="1434" t="s">
        <v>162</v>
      </c>
      <c r="K1" s="1435"/>
      <c r="L1" s="1434" t="s">
        <v>163</v>
      </c>
      <c r="M1" s="1435"/>
      <c r="N1" s="1434" t="s">
        <v>312</v>
      </c>
      <c r="O1" s="1435"/>
      <c r="P1" s="1434" t="s">
        <v>164</v>
      </c>
      <c r="Q1" s="1435"/>
      <c r="R1" s="1434" t="s">
        <v>165</v>
      </c>
      <c r="S1" s="1435"/>
      <c r="T1" s="1434" t="s">
        <v>166</v>
      </c>
      <c r="U1" s="1435"/>
      <c r="V1" s="1434" t="s">
        <v>167</v>
      </c>
      <c r="W1" s="1435"/>
      <c r="X1" s="1434" t="s">
        <v>168</v>
      </c>
      <c r="Y1" s="1435"/>
      <c r="Z1" s="1434" t="s">
        <v>381</v>
      </c>
      <c r="AA1" s="1435"/>
      <c r="AB1" s="1434" t="s">
        <v>169</v>
      </c>
      <c r="AC1" s="1435"/>
      <c r="AD1" s="1436" t="s">
        <v>170</v>
      </c>
      <c r="AE1" s="1437"/>
      <c r="AF1" s="1434" t="s">
        <v>171</v>
      </c>
      <c r="AG1" s="1435"/>
      <c r="AH1" s="1434" t="s">
        <v>172</v>
      </c>
      <c r="AI1" s="1435"/>
      <c r="AJ1" s="1434" t="s">
        <v>173</v>
      </c>
      <c r="AK1" s="1435"/>
      <c r="AL1" s="1436" t="s">
        <v>174</v>
      </c>
      <c r="AM1" s="1437"/>
      <c r="AN1" s="1434" t="s">
        <v>175</v>
      </c>
      <c r="AO1" s="1435"/>
      <c r="AP1" s="1434" t="s">
        <v>176</v>
      </c>
      <c r="AQ1" s="1435"/>
      <c r="AR1" s="1434" t="s">
        <v>177</v>
      </c>
      <c r="AS1" s="1435"/>
      <c r="AT1" s="1434" t="s">
        <v>178</v>
      </c>
      <c r="AU1" s="1435"/>
      <c r="AV1" s="1440" t="s">
        <v>1</v>
      </c>
      <c r="AW1" s="1441"/>
      <c r="AX1" s="1436" t="s">
        <v>179</v>
      </c>
      <c r="AY1" s="1437"/>
      <c r="AZ1" s="1438" t="s">
        <v>2</v>
      </c>
      <c r="BA1" s="1439"/>
    </row>
    <row r="2" spans="1:53" s="479" customFormat="1" ht="31.5" customHeight="1" thickBot="1" x14ac:dyDescent="0.35">
      <c r="A2" s="505" t="s">
        <v>0</v>
      </c>
      <c r="B2" s="992" t="s">
        <v>440</v>
      </c>
      <c r="C2" s="991" t="s">
        <v>427</v>
      </c>
      <c r="D2" s="992" t="s">
        <v>440</v>
      </c>
      <c r="E2" s="991" t="s">
        <v>427</v>
      </c>
      <c r="F2" s="992" t="s">
        <v>440</v>
      </c>
      <c r="G2" s="991" t="s">
        <v>427</v>
      </c>
      <c r="H2" s="992" t="s">
        <v>440</v>
      </c>
      <c r="I2" s="991" t="s">
        <v>427</v>
      </c>
      <c r="J2" s="992" t="s">
        <v>440</v>
      </c>
      <c r="K2" s="991" t="s">
        <v>427</v>
      </c>
      <c r="L2" s="992" t="s">
        <v>440</v>
      </c>
      <c r="M2" s="991" t="s">
        <v>427</v>
      </c>
      <c r="N2" s="992" t="s">
        <v>440</v>
      </c>
      <c r="O2" s="991" t="s">
        <v>427</v>
      </c>
      <c r="P2" s="992" t="s">
        <v>440</v>
      </c>
      <c r="Q2" s="991" t="s">
        <v>427</v>
      </c>
      <c r="R2" s="992" t="s">
        <v>440</v>
      </c>
      <c r="S2" s="991" t="s">
        <v>427</v>
      </c>
      <c r="T2" s="992" t="s">
        <v>440</v>
      </c>
      <c r="U2" s="991" t="s">
        <v>427</v>
      </c>
      <c r="V2" s="992" t="s">
        <v>440</v>
      </c>
      <c r="W2" s="991" t="s">
        <v>427</v>
      </c>
      <c r="X2" s="992" t="s">
        <v>440</v>
      </c>
      <c r="Y2" s="991" t="s">
        <v>427</v>
      </c>
      <c r="Z2" s="992" t="s">
        <v>440</v>
      </c>
      <c r="AA2" s="991" t="s">
        <v>427</v>
      </c>
      <c r="AB2" s="992" t="s">
        <v>440</v>
      </c>
      <c r="AC2" s="991" t="s">
        <v>427</v>
      </c>
      <c r="AD2" s="992" t="s">
        <v>440</v>
      </c>
      <c r="AE2" s="991" t="s">
        <v>427</v>
      </c>
      <c r="AF2" s="992" t="s">
        <v>440</v>
      </c>
      <c r="AG2" s="991" t="s">
        <v>427</v>
      </c>
      <c r="AH2" s="992" t="s">
        <v>440</v>
      </c>
      <c r="AI2" s="991" t="s">
        <v>427</v>
      </c>
      <c r="AJ2" s="992" t="s">
        <v>440</v>
      </c>
      <c r="AK2" s="991" t="s">
        <v>427</v>
      </c>
      <c r="AL2" s="992" t="s">
        <v>440</v>
      </c>
      <c r="AM2" s="991" t="s">
        <v>427</v>
      </c>
      <c r="AN2" s="992" t="s">
        <v>440</v>
      </c>
      <c r="AO2" s="991" t="s">
        <v>427</v>
      </c>
      <c r="AP2" s="992" t="s">
        <v>440</v>
      </c>
      <c r="AQ2" s="991" t="s">
        <v>427</v>
      </c>
      <c r="AR2" s="992" t="s">
        <v>440</v>
      </c>
      <c r="AS2" s="991" t="s">
        <v>427</v>
      </c>
      <c r="AT2" s="992" t="s">
        <v>440</v>
      </c>
      <c r="AU2" s="991" t="s">
        <v>427</v>
      </c>
      <c r="AV2" s="992" t="s">
        <v>440</v>
      </c>
      <c r="AW2" s="991" t="s">
        <v>427</v>
      </c>
      <c r="AX2" s="992" t="s">
        <v>440</v>
      </c>
      <c r="AY2" s="991" t="s">
        <v>427</v>
      </c>
      <c r="AZ2" s="992" t="s">
        <v>440</v>
      </c>
      <c r="BA2" s="991" t="s">
        <v>427</v>
      </c>
    </row>
    <row r="3" spans="1:53" ht="14.25" x14ac:dyDescent="0.3">
      <c r="A3" s="396" t="s">
        <v>203</v>
      </c>
      <c r="B3" s="936"/>
      <c r="C3" s="918"/>
      <c r="D3" s="923"/>
      <c r="E3" s="918"/>
      <c r="F3" s="923"/>
      <c r="G3" s="918"/>
      <c r="H3" s="923"/>
      <c r="I3" s="918"/>
      <c r="J3" s="923"/>
      <c r="K3" s="918"/>
      <c r="L3" s="923"/>
      <c r="M3" s="918"/>
      <c r="N3" s="923"/>
      <c r="O3" s="918"/>
      <c r="P3" s="923"/>
      <c r="Q3" s="918"/>
      <c r="R3" s="923"/>
      <c r="S3" s="918"/>
      <c r="T3" s="923"/>
      <c r="U3" s="918"/>
      <c r="V3" s="923"/>
      <c r="W3" s="918"/>
      <c r="X3" s="923"/>
      <c r="Y3" s="918"/>
      <c r="Z3" s="923"/>
      <c r="AA3" s="918"/>
      <c r="AB3" s="923"/>
      <c r="AC3" s="354"/>
      <c r="AD3" s="513"/>
      <c r="AE3" s="354"/>
      <c r="AF3" s="513"/>
      <c r="AG3" s="354"/>
      <c r="AH3" s="513"/>
      <c r="AI3" s="354"/>
      <c r="AJ3" s="513"/>
      <c r="AK3" s="354"/>
      <c r="AL3" s="513"/>
      <c r="AM3" s="924"/>
      <c r="AN3" s="424"/>
      <c r="AO3" s="354"/>
      <c r="AP3" s="513"/>
      <c r="AQ3" s="354"/>
      <c r="AR3" s="513"/>
      <c r="AS3" s="918"/>
      <c r="AT3" s="923"/>
      <c r="AU3" s="354"/>
      <c r="AV3" s="923"/>
      <c r="AW3" s="354"/>
      <c r="AX3" s="923"/>
      <c r="AY3" s="918"/>
      <c r="AZ3" s="923"/>
      <c r="BA3" s="1001"/>
    </row>
    <row r="4" spans="1:53" ht="14.25" x14ac:dyDescent="0.3">
      <c r="A4" s="926" t="s">
        <v>204</v>
      </c>
      <c r="B4" s="928"/>
      <c r="C4" s="919"/>
      <c r="D4" s="921"/>
      <c r="E4" s="919"/>
      <c r="F4" s="1338" t="s">
        <v>295</v>
      </c>
      <c r="G4" s="1339" t="s">
        <v>295</v>
      </c>
      <c r="H4" s="921"/>
      <c r="I4" s="919"/>
      <c r="J4" s="921"/>
      <c r="K4" s="919"/>
      <c r="L4" s="921"/>
      <c r="M4" s="919"/>
      <c r="N4" s="921"/>
      <c r="O4" s="919"/>
      <c r="P4" s="921"/>
      <c r="Q4" s="919"/>
      <c r="R4" s="921"/>
      <c r="S4" s="919"/>
      <c r="T4" s="921"/>
      <c r="U4" s="919"/>
      <c r="V4" s="921"/>
      <c r="W4" s="919"/>
      <c r="X4" s="921"/>
      <c r="Y4" s="919"/>
      <c r="Z4" s="921"/>
      <c r="AA4" s="919"/>
      <c r="AB4" s="921"/>
      <c r="AC4" s="92"/>
      <c r="AD4" s="356"/>
      <c r="AE4" s="92"/>
      <c r="AF4" s="356"/>
      <c r="AG4" s="92"/>
      <c r="AH4" s="356"/>
      <c r="AI4" s="92"/>
      <c r="AJ4" s="356"/>
      <c r="AK4" s="92"/>
      <c r="AL4" s="356"/>
      <c r="AM4" s="922"/>
      <c r="AN4" s="381"/>
      <c r="AO4" s="92"/>
      <c r="AP4" s="356"/>
      <c r="AQ4" s="92"/>
      <c r="AR4" s="356"/>
      <c r="AS4" s="919"/>
      <c r="AT4" s="921"/>
      <c r="AU4" s="92"/>
      <c r="AV4" s="921"/>
      <c r="AW4" s="92"/>
      <c r="AX4" s="921"/>
      <c r="AY4" s="919"/>
      <c r="AZ4" s="921"/>
      <c r="BA4" s="1002"/>
    </row>
    <row r="5" spans="1:53" x14ac:dyDescent="0.25">
      <c r="A5" s="350" t="s">
        <v>205</v>
      </c>
      <c r="B5" s="703"/>
      <c r="C5" s="919"/>
      <c r="D5" s="921"/>
      <c r="E5" s="919"/>
      <c r="F5" s="921"/>
      <c r="G5" s="919"/>
      <c r="H5" s="921"/>
      <c r="I5" s="919"/>
      <c r="J5" s="921"/>
      <c r="K5" s="919"/>
      <c r="L5" s="921"/>
      <c r="M5" s="919"/>
      <c r="N5" s="921"/>
      <c r="O5" s="919"/>
      <c r="P5" s="921"/>
      <c r="Q5" s="919"/>
      <c r="R5" s="921"/>
      <c r="S5" s="919"/>
      <c r="T5" s="921"/>
      <c r="U5" s="919"/>
      <c r="V5" s="921"/>
      <c r="W5" s="919"/>
      <c r="X5" s="921"/>
      <c r="Y5" s="919"/>
      <c r="Z5" s="921"/>
      <c r="AA5" s="919"/>
      <c r="AB5" s="921"/>
      <c r="AC5" s="92"/>
      <c r="AD5" s="356"/>
      <c r="AE5" s="92"/>
      <c r="AF5" s="356"/>
      <c r="AG5" s="92"/>
      <c r="AH5" s="356"/>
      <c r="AI5" s="92"/>
      <c r="AJ5" s="356"/>
      <c r="AK5" s="92"/>
      <c r="AL5" s="356"/>
      <c r="AM5" s="922"/>
      <c r="AN5" s="381"/>
      <c r="AO5" s="92"/>
      <c r="AP5" s="356"/>
      <c r="AQ5" s="92"/>
      <c r="AR5" s="356"/>
      <c r="AS5" s="919"/>
      <c r="AT5" s="921"/>
      <c r="AU5" s="92"/>
      <c r="AV5" s="921"/>
      <c r="AW5" s="92"/>
      <c r="AX5" s="921"/>
      <c r="AY5" s="919"/>
      <c r="AZ5" s="921"/>
      <c r="BA5" s="1002"/>
    </row>
    <row r="6" spans="1:53" x14ac:dyDescent="0.25">
      <c r="A6" s="350" t="s">
        <v>206</v>
      </c>
      <c r="B6" s="703"/>
      <c r="C6" s="919"/>
      <c r="D6" s="921"/>
      <c r="E6" s="919"/>
      <c r="F6" s="921"/>
      <c r="G6" s="919"/>
      <c r="H6" s="921"/>
      <c r="I6" s="919"/>
      <c r="J6" s="921"/>
      <c r="K6" s="919"/>
      <c r="L6" s="921"/>
      <c r="M6" s="919"/>
      <c r="N6" s="921"/>
      <c r="O6" s="919"/>
      <c r="P6" s="921"/>
      <c r="Q6" s="919"/>
      <c r="R6" s="921"/>
      <c r="S6" s="919"/>
      <c r="T6" s="921"/>
      <c r="U6" s="919"/>
      <c r="V6" s="921"/>
      <c r="W6" s="919"/>
      <c r="X6" s="921"/>
      <c r="Y6" s="919"/>
      <c r="Z6" s="921"/>
      <c r="AA6" s="919"/>
      <c r="AB6" s="921"/>
      <c r="AC6" s="92"/>
      <c r="AD6" s="356"/>
      <c r="AE6" s="92"/>
      <c r="AF6" s="356"/>
      <c r="AG6" s="92"/>
      <c r="AH6" s="356"/>
      <c r="AI6" s="92"/>
      <c r="AJ6" s="356"/>
      <c r="AK6" s="92"/>
      <c r="AL6" s="356"/>
      <c r="AM6" s="922"/>
      <c r="AN6" s="381"/>
      <c r="AO6" s="92"/>
      <c r="AP6" s="356"/>
      <c r="AQ6" s="92"/>
      <c r="AR6" s="356"/>
      <c r="AS6" s="919"/>
      <c r="AT6" s="921"/>
      <c r="AU6" s="92"/>
      <c r="AV6" s="921"/>
      <c r="AW6" s="92"/>
      <c r="AX6" s="921">
        <v>925377</v>
      </c>
      <c r="AY6" s="919">
        <v>1089893</v>
      </c>
      <c r="AZ6" s="921">
        <f>AV6+AX6</f>
        <v>925377</v>
      </c>
      <c r="BA6" s="100">
        <f>AW6+AY6</f>
        <v>1089893</v>
      </c>
    </row>
    <row r="7" spans="1:53" x14ac:dyDescent="0.25">
      <c r="A7" s="350" t="s">
        <v>207</v>
      </c>
      <c r="B7" s="703"/>
      <c r="C7" s="919"/>
      <c r="D7" s="921"/>
      <c r="E7" s="919"/>
      <c r="F7" s="921"/>
      <c r="G7" s="919"/>
      <c r="H7" s="921"/>
      <c r="I7" s="919"/>
      <c r="J7" s="921"/>
      <c r="K7" s="919"/>
      <c r="L7" s="921"/>
      <c r="M7" s="919"/>
      <c r="N7" s="921"/>
      <c r="O7" s="919"/>
      <c r="P7" s="921"/>
      <c r="Q7" s="919"/>
      <c r="R7" s="921"/>
      <c r="S7" s="919"/>
      <c r="T7" s="921"/>
      <c r="U7" s="919"/>
      <c r="V7" s="921"/>
      <c r="W7" s="919"/>
      <c r="X7" s="921"/>
      <c r="Y7" s="919"/>
      <c r="Z7" s="921"/>
      <c r="AA7" s="919"/>
      <c r="AB7" s="921"/>
      <c r="AC7" s="92"/>
      <c r="AD7" s="356"/>
      <c r="AE7" s="92"/>
      <c r="AF7" s="356"/>
      <c r="AG7" s="92"/>
      <c r="AH7" s="356"/>
      <c r="AI7" s="92"/>
      <c r="AJ7" s="356"/>
      <c r="AK7" s="92"/>
      <c r="AL7" s="356"/>
      <c r="AM7" s="922"/>
      <c r="AN7" s="381"/>
      <c r="AO7" s="92"/>
      <c r="AP7" s="356"/>
      <c r="AQ7" s="92"/>
      <c r="AR7" s="356"/>
      <c r="AS7" s="919"/>
      <c r="AT7" s="921"/>
      <c r="AU7" s="92"/>
      <c r="AV7" s="921"/>
      <c r="AW7" s="92"/>
      <c r="AX7" s="921">
        <v>1071</v>
      </c>
      <c r="AY7" s="919">
        <v>1093</v>
      </c>
      <c r="AZ7" s="921">
        <f>AV7+AX7</f>
        <v>1071</v>
      </c>
      <c r="BA7" s="100">
        <f>AW7+AY7</f>
        <v>1093</v>
      </c>
    </row>
    <row r="8" spans="1:53" x14ac:dyDescent="0.25">
      <c r="A8" s="350" t="s">
        <v>208</v>
      </c>
      <c r="B8" s="703"/>
      <c r="C8" s="919"/>
      <c r="D8" s="921"/>
      <c r="E8" s="919"/>
      <c r="F8" s="921"/>
      <c r="G8" s="919"/>
      <c r="H8" s="921"/>
      <c r="I8" s="919"/>
      <c r="J8" s="921"/>
      <c r="K8" s="919"/>
      <c r="L8" s="921"/>
      <c r="M8" s="919"/>
      <c r="N8" s="921"/>
      <c r="O8" s="919"/>
      <c r="P8" s="921"/>
      <c r="Q8" s="919"/>
      <c r="R8" s="921"/>
      <c r="S8" s="919"/>
      <c r="T8" s="921"/>
      <c r="U8" s="919"/>
      <c r="V8" s="921"/>
      <c r="W8" s="919"/>
      <c r="X8" s="921"/>
      <c r="Y8" s="919"/>
      <c r="Z8" s="921"/>
      <c r="AA8" s="919"/>
      <c r="AB8" s="921"/>
      <c r="AC8" s="92"/>
      <c r="AD8" s="356"/>
      <c r="AE8" s="92"/>
      <c r="AF8" s="356"/>
      <c r="AG8" s="92"/>
      <c r="AH8" s="356"/>
      <c r="AI8" s="92"/>
      <c r="AJ8" s="356"/>
      <c r="AK8" s="92"/>
      <c r="AL8" s="356"/>
      <c r="AM8" s="922"/>
      <c r="AN8" s="381"/>
      <c r="AO8" s="92"/>
      <c r="AP8" s="356"/>
      <c r="AQ8" s="92"/>
      <c r="AR8" s="356"/>
      <c r="AS8" s="919"/>
      <c r="AT8" s="921"/>
      <c r="AU8" s="92"/>
      <c r="AV8" s="921"/>
      <c r="AW8" s="92"/>
      <c r="AX8" s="921"/>
      <c r="AY8" s="919"/>
      <c r="AZ8" s="921"/>
      <c r="BA8" s="100"/>
    </row>
    <row r="9" spans="1:53" x14ac:dyDescent="0.25">
      <c r="A9" s="350" t="s">
        <v>209</v>
      </c>
      <c r="B9" s="703">
        <v>40573</v>
      </c>
      <c r="C9" s="919">
        <v>29406</v>
      </c>
      <c r="D9" s="921">
        <v>273</v>
      </c>
      <c r="E9" s="919">
        <v>270</v>
      </c>
      <c r="F9" s="921"/>
      <c r="G9" s="919"/>
      <c r="H9" s="921">
        <v>58428</v>
      </c>
      <c r="I9" s="919">
        <v>51495</v>
      </c>
      <c r="J9" s="921">
        <v>3922</v>
      </c>
      <c r="K9" s="919">
        <v>3300</v>
      </c>
      <c r="L9" s="921">
        <v>2215</v>
      </c>
      <c r="M9" s="919">
        <v>826</v>
      </c>
      <c r="N9" s="921">
        <v>11964</v>
      </c>
      <c r="O9" s="919">
        <v>9096</v>
      </c>
      <c r="P9" s="921">
        <v>3487</v>
      </c>
      <c r="Q9" s="919">
        <v>2039</v>
      </c>
      <c r="R9" s="921"/>
      <c r="S9" s="919">
        <v>62885</v>
      </c>
      <c r="T9" s="921">
        <v>7694</v>
      </c>
      <c r="U9" s="919">
        <v>4111</v>
      </c>
      <c r="V9" s="921">
        <v>158531</v>
      </c>
      <c r="W9" s="919">
        <v>64283</v>
      </c>
      <c r="X9" s="921">
        <v>131412</v>
      </c>
      <c r="Y9" s="919">
        <v>94012</v>
      </c>
      <c r="Z9" s="921">
        <v>2048</v>
      </c>
      <c r="AA9" s="919">
        <v>1395</v>
      </c>
      <c r="AB9" s="921">
        <v>3370</v>
      </c>
      <c r="AC9" s="92">
        <v>2322</v>
      </c>
      <c r="AD9" s="356">
        <v>10460</v>
      </c>
      <c r="AE9" s="92">
        <v>7397</v>
      </c>
      <c r="AF9" s="356">
        <v>80293</v>
      </c>
      <c r="AG9" s="92">
        <v>66607</v>
      </c>
      <c r="AH9" s="356">
        <v>23146</v>
      </c>
      <c r="AI9" s="92">
        <v>16288</v>
      </c>
      <c r="AJ9" s="356">
        <v>11191</v>
      </c>
      <c r="AK9" s="92">
        <v>8213</v>
      </c>
      <c r="AL9" s="356"/>
      <c r="AM9" s="922"/>
      <c r="AN9" s="381">
        <v>25404</v>
      </c>
      <c r="AO9" s="92">
        <v>16888</v>
      </c>
      <c r="AP9" s="356">
        <v>12758</v>
      </c>
      <c r="AQ9" s="92">
        <v>8884</v>
      </c>
      <c r="AR9" s="356">
        <v>2474</v>
      </c>
      <c r="AS9" s="919">
        <v>1690</v>
      </c>
      <c r="AT9" s="921">
        <v>52929</v>
      </c>
      <c r="AU9" s="92">
        <v>50630</v>
      </c>
      <c r="AV9" s="1133">
        <f>SUM(B9+D9+F9+H9+J9+L9+N9+P9+R9+T9+V9+X9+Z9+AB9+AD9+AF9+AH9+AJ9+AL9+AN9+AP9+AR9+AT9)</f>
        <v>642572</v>
      </c>
      <c r="AW9" s="146">
        <f>SUM(C9+E9+G9+I9+K9+M9+O9+Q9+S9+U9+W9+Y9+AA9+AC9+AE9+AG9+AI9+AK9+AM9+AO9+AQ9+AS9+AU9)</f>
        <v>502037</v>
      </c>
      <c r="AX9" s="921">
        <v>11164651</v>
      </c>
      <c r="AY9" s="919">
        <v>10442616</v>
      </c>
      <c r="AZ9" s="921">
        <f t="shared" ref="AZ9:BA13" si="0">AV9+AX9</f>
        <v>11807223</v>
      </c>
      <c r="BA9" s="98">
        <f t="shared" si="0"/>
        <v>10944653</v>
      </c>
    </row>
    <row r="10" spans="1:53" x14ac:dyDescent="0.25">
      <c r="A10" s="350" t="s">
        <v>210</v>
      </c>
      <c r="B10" s="703"/>
      <c r="C10" s="919"/>
      <c r="D10" s="921"/>
      <c r="E10" s="930"/>
      <c r="F10" s="109"/>
      <c r="G10" s="919"/>
      <c r="H10" s="921"/>
      <c r="I10" s="919"/>
      <c r="J10" s="921"/>
      <c r="K10" s="919"/>
      <c r="L10" s="921"/>
      <c r="M10" s="919"/>
      <c r="N10" s="921"/>
      <c r="O10" s="919"/>
      <c r="P10" s="921">
        <v>64</v>
      </c>
      <c r="Q10" s="919">
        <v>50</v>
      </c>
      <c r="R10" s="921"/>
      <c r="S10" s="919"/>
      <c r="T10" s="921"/>
      <c r="U10" s="919"/>
      <c r="V10" s="921"/>
      <c r="W10" s="919"/>
      <c r="X10" s="921"/>
      <c r="Y10" s="919"/>
      <c r="Z10" s="921"/>
      <c r="AA10" s="919"/>
      <c r="AB10" s="921"/>
      <c r="AC10" s="92"/>
      <c r="AD10" s="356"/>
      <c r="AE10" s="92"/>
      <c r="AF10" s="356">
        <v>12190</v>
      </c>
      <c r="AG10" s="92"/>
      <c r="AH10" s="356"/>
      <c r="AI10" s="92"/>
      <c r="AJ10" s="356"/>
      <c r="AK10" s="92"/>
      <c r="AL10" s="356"/>
      <c r="AM10" s="922"/>
      <c r="AN10" s="381">
        <v>13488</v>
      </c>
      <c r="AO10" s="92">
        <v>19380</v>
      </c>
      <c r="AP10" s="356"/>
      <c r="AQ10" s="92"/>
      <c r="AR10" s="356"/>
      <c r="AS10" s="919"/>
      <c r="AT10" s="921"/>
      <c r="AU10" s="92"/>
      <c r="AV10" s="921"/>
      <c r="AW10" s="92"/>
      <c r="AX10" s="921">
        <f>199886+82982</f>
        <v>282868</v>
      </c>
      <c r="AY10" s="919">
        <f>266430+87338</f>
        <v>353768</v>
      </c>
      <c r="AZ10" s="921">
        <f t="shared" si="0"/>
        <v>282868</v>
      </c>
      <c r="BA10" s="100">
        <f t="shared" si="0"/>
        <v>353768</v>
      </c>
    </row>
    <row r="11" spans="1:53" ht="13.5" x14ac:dyDescent="0.3">
      <c r="A11" s="926" t="s">
        <v>211</v>
      </c>
      <c r="B11" s="928"/>
      <c r="C11" s="919"/>
      <c r="D11" s="921">
        <v>7251</v>
      </c>
      <c r="E11" s="919">
        <v>7251</v>
      </c>
      <c r="F11" s="921"/>
      <c r="G11" s="919"/>
      <c r="H11" s="921"/>
      <c r="I11" s="919"/>
      <c r="J11" s="921"/>
      <c r="K11" s="919"/>
      <c r="L11" s="921"/>
      <c r="M11" s="919"/>
      <c r="N11" s="921"/>
      <c r="O11" s="919"/>
      <c r="P11" s="921"/>
      <c r="Q11" s="919"/>
      <c r="R11" s="921"/>
      <c r="S11" s="919">
        <v>25</v>
      </c>
      <c r="T11" s="921"/>
      <c r="U11" s="919"/>
      <c r="V11" s="921"/>
      <c r="W11" s="919"/>
      <c r="X11" s="921"/>
      <c r="Y11" s="919"/>
      <c r="Z11" s="921"/>
      <c r="AA11" s="919"/>
      <c r="AB11" s="921"/>
      <c r="AC11" s="92"/>
      <c r="AD11" s="356"/>
      <c r="AE11" s="92"/>
      <c r="AF11" s="356"/>
      <c r="AG11" s="92"/>
      <c r="AH11" s="356"/>
      <c r="AI11" s="92"/>
      <c r="AJ11" s="356"/>
      <c r="AK11" s="92"/>
      <c r="AL11" s="356"/>
      <c r="AM11" s="922"/>
      <c r="AN11" s="381"/>
      <c r="AO11" s="92"/>
      <c r="AP11" s="356"/>
      <c r="AQ11" s="92"/>
      <c r="AR11" s="356"/>
      <c r="AS11" s="919"/>
      <c r="AT11" s="921"/>
      <c r="AU11" s="92"/>
      <c r="AV11" s="921"/>
      <c r="AW11" s="92"/>
      <c r="AX11" s="921">
        <v>100889</v>
      </c>
      <c r="AY11" s="919">
        <v>225011</v>
      </c>
      <c r="AZ11" s="921">
        <f t="shared" si="0"/>
        <v>100889</v>
      </c>
      <c r="BA11" s="100">
        <f t="shared" si="0"/>
        <v>225011</v>
      </c>
    </row>
    <row r="12" spans="1:53" ht="13.5" x14ac:dyDescent="0.3">
      <c r="A12" s="926" t="s">
        <v>301</v>
      </c>
      <c r="B12" s="928"/>
      <c r="C12" s="919"/>
      <c r="D12" s="921"/>
      <c r="E12" s="919"/>
      <c r="F12" s="921"/>
      <c r="G12" s="919"/>
      <c r="H12" s="921"/>
      <c r="I12" s="919"/>
      <c r="J12" s="921"/>
      <c r="K12" s="919"/>
      <c r="L12" s="921"/>
      <c r="M12" s="919"/>
      <c r="N12" s="921"/>
      <c r="O12" s="919"/>
      <c r="P12" s="921">
        <v>-1</v>
      </c>
      <c r="Q12" s="919">
        <v>-2</v>
      </c>
      <c r="R12" s="921"/>
      <c r="S12" s="919"/>
      <c r="T12" s="921">
        <v>9</v>
      </c>
      <c r="U12" s="919">
        <v>1</v>
      </c>
      <c r="V12" s="921"/>
      <c r="W12" s="919"/>
      <c r="X12" s="921"/>
      <c r="Y12" s="919"/>
      <c r="Z12" s="921"/>
      <c r="AA12" s="919"/>
      <c r="AB12" s="921"/>
      <c r="AC12" s="92"/>
      <c r="AD12" s="356"/>
      <c r="AE12" s="92"/>
      <c r="AF12" s="356"/>
      <c r="AG12" s="92"/>
      <c r="AH12" s="356"/>
      <c r="AI12" s="92"/>
      <c r="AJ12" s="356"/>
      <c r="AK12" s="92"/>
      <c r="AL12" s="356"/>
      <c r="AM12" s="922"/>
      <c r="AN12" s="381"/>
      <c r="AO12" s="92"/>
      <c r="AP12" s="356"/>
      <c r="AQ12" s="92"/>
      <c r="AR12" s="356"/>
      <c r="AS12" s="919"/>
      <c r="AT12" s="921"/>
      <c r="AU12" s="92"/>
      <c r="AV12" s="921"/>
      <c r="AW12" s="92"/>
      <c r="AX12" s="921">
        <v>-918613</v>
      </c>
      <c r="AY12" s="919">
        <v>-1124820</v>
      </c>
      <c r="AZ12" s="921">
        <f t="shared" si="0"/>
        <v>-918613</v>
      </c>
      <c r="BA12" s="100">
        <f t="shared" si="0"/>
        <v>-1124820</v>
      </c>
    </row>
    <row r="13" spans="1:53" s="1000" customFormat="1" ht="14.25" x14ac:dyDescent="0.3">
      <c r="A13" s="927" t="s">
        <v>54</v>
      </c>
      <c r="B13" s="929">
        <f>B9</f>
        <v>40573</v>
      </c>
      <c r="C13" s="993">
        <f>C9</f>
        <v>29406</v>
      </c>
      <c r="D13" s="929">
        <f>D9+D11</f>
        <v>7524</v>
      </c>
      <c r="E13" s="994">
        <f>E9+E11</f>
        <v>7521</v>
      </c>
      <c r="F13" s="995"/>
      <c r="G13" s="993"/>
      <c r="H13" s="929">
        <f>H9</f>
        <v>58428</v>
      </c>
      <c r="I13" s="993">
        <f>I9</f>
        <v>51495</v>
      </c>
      <c r="J13" s="929">
        <v>3922</v>
      </c>
      <c r="K13" s="993">
        <f>K9</f>
        <v>3300</v>
      </c>
      <c r="L13" s="929">
        <f>L9</f>
        <v>2215</v>
      </c>
      <c r="M13" s="993">
        <f>SUM(M5:M11)</f>
        <v>826</v>
      </c>
      <c r="N13" s="929">
        <f>N9</f>
        <v>11964</v>
      </c>
      <c r="O13" s="993">
        <f>SUM(O5:O11)</f>
        <v>9096</v>
      </c>
      <c r="P13" s="929">
        <v>3550</v>
      </c>
      <c r="Q13" s="993">
        <v>2087</v>
      </c>
      <c r="R13" s="929"/>
      <c r="S13" s="993">
        <f>SUM(S5:S11)</f>
        <v>62910</v>
      </c>
      <c r="T13" s="929">
        <v>7702</v>
      </c>
      <c r="U13" s="993">
        <v>4112</v>
      </c>
      <c r="V13" s="929">
        <v>158531</v>
      </c>
      <c r="W13" s="993">
        <f>SUM(W5:W11)</f>
        <v>64283</v>
      </c>
      <c r="X13" s="929">
        <v>131412</v>
      </c>
      <c r="Y13" s="993">
        <f>SUM(Y5:Y11)</f>
        <v>94012</v>
      </c>
      <c r="Z13" s="929">
        <f>SUM(Z5:Z11)</f>
        <v>2048</v>
      </c>
      <c r="AA13" s="993">
        <f>SUM(AA5:AA11)</f>
        <v>1395</v>
      </c>
      <c r="AB13" s="929">
        <f>AB9</f>
        <v>3370</v>
      </c>
      <c r="AC13" s="996">
        <f>SUM(AC5:AC11)</f>
        <v>2322</v>
      </c>
      <c r="AD13" s="997">
        <f>AD9</f>
        <v>10460</v>
      </c>
      <c r="AE13" s="996">
        <f>SUM(AE5:AE11)</f>
        <v>7397</v>
      </c>
      <c r="AF13" s="997">
        <f>AF9+AF10</f>
        <v>92483</v>
      </c>
      <c r="AG13" s="996">
        <f>AG9</f>
        <v>66607</v>
      </c>
      <c r="AH13" s="997">
        <f>AH9</f>
        <v>23146</v>
      </c>
      <c r="AI13" s="996">
        <f>AI9</f>
        <v>16288</v>
      </c>
      <c r="AJ13" s="997">
        <f>AJ9</f>
        <v>11191</v>
      </c>
      <c r="AK13" s="996">
        <f>SUM(AK5:AK11)</f>
        <v>8213</v>
      </c>
      <c r="AL13" s="997"/>
      <c r="AM13" s="998"/>
      <c r="AN13" s="999">
        <v>38892</v>
      </c>
      <c r="AO13" s="996">
        <f>SUM(AO5:AO11)</f>
        <v>36268</v>
      </c>
      <c r="AP13" s="997">
        <f>AP9</f>
        <v>12758</v>
      </c>
      <c r="AQ13" s="996">
        <f>SUM(AQ5:AQ11)</f>
        <v>8884</v>
      </c>
      <c r="AR13" s="997">
        <f>AR9</f>
        <v>2474</v>
      </c>
      <c r="AS13" s="993">
        <f>SUM(AS5:AS11)</f>
        <v>1690</v>
      </c>
      <c r="AT13" s="929">
        <f>AT9</f>
        <v>52929</v>
      </c>
      <c r="AU13" s="996">
        <f>AU9</f>
        <v>50630</v>
      </c>
      <c r="AV13" s="995">
        <f>SUM(B13+D13+F13+H13+J13+L13+N13+P13+R13+T13+V13+X13+Z13+AB13+AD13+AF13+AH13+AJ13+AL13+AN13+AP13+AR13+AT13)</f>
        <v>675572</v>
      </c>
      <c r="AW13" s="1134">
        <f>SUM(C13+E13+G13+I13+K13+M13+O13+Q13+S13+U13+W13+Y13+AA13+AC13+AE13+AG13+AI13+AK13+AM13+AO13+AQ13+AS13+AU13)</f>
        <v>528742</v>
      </c>
      <c r="AX13" s="929">
        <f>SUM(AX6:AX12)</f>
        <v>11556243</v>
      </c>
      <c r="AY13" s="993">
        <f>SUM(AY6:AY12)</f>
        <v>10987561</v>
      </c>
      <c r="AZ13" s="995">
        <f t="shared" si="0"/>
        <v>12231815</v>
      </c>
      <c r="BA13" s="679">
        <f t="shared" si="0"/>
        <v>11516303</v>
      </c>
    </row>
    <row r="14" spans="1:53" ht="14.25" x14ac:dyDescent="0.3">
      <c r="A14" s="395" t="s">
        <v>212</v>
      </c>
      <c r="B14" s="854"/>
      <c r="C14" s="919"/>
      <c r="D14" s="921"/>
      <c r="E14" s="919"/>
      <c r="F14" s="921"/>
      <c r="G14" s="919"/>
      <c r="H14" s="921"/>
      <c r="I14" s="919"/>
      <c r="J14" s="921"/>
      <c r="K14" s="919"/>
      <c r="L14" s="921"/>
      <c r="M14" s="919"/>
      <c r="N14" s="921"/>
      <c r="O14" s="919"/>
      <c r="P14" s="921"/>
      <c r="Q14" s="919"/>
      <c r="R14" s="921"/>
      <c r="S14" s="919"/>
      <c r="T14" s="921"/>
      <c r="U14" s="919"/>
      <c r="V14" s="921"/>
      <c r="W14" s="919"/>
      <c r="X14" s="921"/>
      <c r="Y14" s="919"/>
      <c r="Z14" s="921"/>
      <c r="AA14" s="919"/>
      <c r="AB14" s="921"/>
      <c r="AC14" s="92"/>
      <c r="AD14" s="356"/>
      <c r="AE14" s="92"/>
      <c r="AF14" s="356"/>
      <c r="AG14" s="92"/>
      <c r="AH14" s="356"/>
      <c r="AI14" s="92"/>
      <c r="AJ14" s="356"/>
      <c r="AK14" s="92"/>
      <c r="AL14" s="356"/>
      <c r="AM14" s="922"/>
      <c r="AN14" s="381"/>
      <c r="AO14" s="92"/>
      <c r="AP14" s="356"/>
      <c r="AQ14" s="92"/>
      <c r="AR14" s="356"/>
      <c r="AS14" s="919"/>
      <c r="AT14" s="921"/>
      <c r="AU14" s="92"/>
      <c r="AV14" s="921"/>
      <c r="AW14" s="92"/>
      <c r="AX14" s="921"/>
      <c r="AY14" s="919"/>
      <c r="AZ14" s="921"/>
      <c r="BA14" s="100"/>
    </row>
    <row r="15" spans="1:53" x14ac:dyDescent="0.25">
      <c r="A15" s="350" t="s">
        <v>213</v>
      </c>
      <c r="B15" s="703"/>
      <c r="C15" s="919"/>
      <c r="D15" s="921"/>
      <c r="E15" s="919"/>
      <c r="F15" s="921"/>
      <c r="G15" s="919"/>
      <c r="H15" s="921"/>
      <c r="I15" s="919"/>
      <c r="J15" s="921"/>
      <c r="K15" s="919"/>
      <c r="L15" s="921"/>
      <c r="M15" s="919"/>
      <c r="N15" s="921"/>
      <c r="O15" s="919"/>
      <c r="P15" s="921"/>
      <c r="Q15" s="919"/>
      <c r="R15" s="921"/>
      <c r="S15" s="919"/>
      <c r="T15" s="921"/>
      <c r="U15" s="919"/>
      <c r="V15" s="921"/>
      <c r="W15" s="919"/>
      <c r="X15" s="921"/>
      <c r="Y15" s="919"/>
      <c r="Z15" s="921"/>
      <c r="AA15" s="919"/>
      <c r="AB15" s="921"/>
      <c r="AC15" s="92"/>
      <c r="AD15" s="356"/>
      <c r="AE15" s="92"/>
      <c r="AF15" s="356"/>
      <c r="AG15" s="92"/>
      <c r="AH15" s="356"/>
      <c r="AI15" s="92"/>
      <c r="AJ15" s="356"/>
      <c r="AK15" s="92"/>
      <c r="AL15" s="356"/>
      <c r="AM15" s="922"/>
      <c r="AN15" s="381"/>
      <c r="AO15" s="92"/>
      <c r="AP15" s="356"/>
      <c r="AQ15" s="92"/>
      <c r="AR15" s="356"/>
      <c r="AS15" s="919"/>
      <c r="AT15" s="921"/>
      <c r="AU15" s="92"/>
      <c r="AV15" s="921"/>
      <c r="AW15" s="92"/>
      <c r="AX15" s="921">
        <v>132136</v>
      </c>
      <c r="AY15" s="919">
        <v>187437</v>
      </c>
      <c r="AZ15" s="921">
        <f>AV15+AX15</f>
        <v>132136</v>
      </c>
      <c r="BA15" s="100">
        <f>AW15+AY15</f>
        <v>187437</v>
      </c>
    </row>
    <row r="16" spans="1:53" x14ac:dyDescent="0.25">
      <c r="A16" s="350" t="s">
        <v>214</v>
      </c>
      <c r="B16" s="703"/>
      <c r="C16" s="919"/>
      <c r="D16" s="921"/>
      <c r="E16" s="930"/>
      <c r="F16" s="109"/>
      <c r="G16" s="919"/>
      <c r="H16" s="921"/>
      <c r="I16" s="919"/>
      <c r="J16" s="921"/>
      <c r="K16" s="919"/>
      <c r="L16" s="921"/>
      <c r="M16" s="919"/>
      <c r="N16" s="921"/>
      <c r="O16" s="919"/>
      <c r="P16" s="921"/>
      <c r="Q16" s="919"/>
      <c r="R16" s="921"/>
      <c r="S16" s="919"/>
      <c r="T16" s="921"/>
      <c r="U16" s="919"/>
      <c r="V16" s="921"/>
      <c r="W16" s="919"/>
      <c r="X16" s="921"/>
      <c r="Y16" s="919"/>
      <c r="Z16" s="921"/>
      <c r="AA16" s="919"/>
      <c r="AB16" s="921"/>
      <c r="AC16" s="92"/>
      <c r="AD16" s="356"/>
      <c r="AE16" s="92"/>
      <c r="AF16" s="356"/>
      <c r="AG16" s="92"/>
      <c r="AH16" s="356"/>
      <c r="AI16" s="92"/>
      <c r="AJ16" s="356"/>
      <c r="AK16" s="92"/>
      <c r="AL16" s="356"/>
      <c r="AM16" s="922"/>
      <c r="AN16" s="381">
        <v>13488</v>
      </c>
      <c r="AO16" s="92">
        <v>19380</v>
      </c>
      <c r="AP16" s="356"/>
      <c r="AQ16" s="92"/>
      <c r="AR16" s="356"/>
      <c r="AS16" s="919"/>
      <c r="AT16" s="921"/>
      <c r="AU16" s="92"/>
      <c r="AV16" s="921"/>
      <c r="AW16" s="92"/>
      <c r="AX16" s="921"/>
      <c r="AY16" s="919"/>
      <c r="AZ16" s="921"/>
      <c r="BA16" s="100"/>
    </row>
    <row r="17" spans="1:53" x14ac:dyDescent="0.25">
      <c r="A17" s="350" t="s">
        <v>215</v>
      </c>
      <c r="B17" s="703"/>
      <c r="C17" s="919"/>
      <c r="D17" s="921"/>
      <c r="E17" s="919"/>
      <c r="F17" s="921"/>
      <c r="G17" s="919"/>
      <c r="H17" s="921"/>
      <c r="I17" s="919"/>
      <c r="J17" s="921"/>
      <c r="K17" s="919"/>
      <c r="L17" s="921"/>
      <c r="M17" s="919"/>
      <c r="N17" s="921"/>
      <c r="O17" s="919"/>
      <c r="P17" s="921"/>
      <c r="Q17" s="919"/>
      <c r="R17" s="921"/>
      <c r="S17" s="919"/>
      <c r="T17" s="921"/>
      <c r="U17" s="919"/>
      <c r="V17" s="921"/>
      <c r="W17" s="919"/>
      <c r="X17" s="921"/>
      <c r="Y17" s="919"/>
      <c r="Z17" s="921"/>
      <c r="AA17" s="919"/>
      <c r="AB17" s="921"/>
      <c r="AC17" s="92"/>
      <c r="AD17" s="356"/>
      <c r="AE17" s="92"/>
      <c r="AF17" s="356"/>
      <c r="AG17" s="92"/>
      <c r="AH17" s="356"/>
      <c r="AI17" s="92"/>
      <c r="AJ17" s="356"/>
      <c r="AK17" s="92"/>
      <c r="AL17" s="356"/>
      <c r="AM17" s="922"/>
      <c r="AN17" s="381"/>
      <c r="AO17" s="92"/>
      <c r="AP17" s="356"/>
      <c r="AQ17" s="92"/>
      <c r="AR17" s="356"/>
      <c r="AS17" s="919"/>
      <c r="AT17" s="921"/>
      <c r="AU17" s="92"/>
      <c r="AV17" s="921"/>
      <c r="AW17" s="92"/>
      <c r="AX17" s="921"/>
      <c r="AY17" s="919"/>
      <c r="AZ17" s="921"/>
      <c r="BA17" s="100"/>
    </row>
    <row r="18" spans="1:53" x14ac:dyDescent="0.25">
      <c r="A18" s="350" t="s">
        <v>216</v>
      </c>
      <c r="B18" s="703"/>
      <c r="C18" s="919"/>
      <c r="D18" s="921"/>
      <c r="E18" s="919"/>
      <c r="F18" s="921"/>
      <c r="G18" s="919"/>
      <c r="H18" s="921"/>
      <c r="I18" s="919"/>
      <c r="J18" s="921"/>
      <c r="K18" s="919"/>
      <c r="L18" s="921"/>
      <c r="M18" s="919"/>
      <c r="N18" s="921"/>
      <c r="O18" s="919"/>
      <c r="P18" s="921"/>
      <c r="Q18" s="919"/>
      <c r="R18" s="921"/>
      <c r="S18" s="919"/>
      <c r="T18" s="921"/>
      <c r="U18" s="919"/>
      <c r="V18" s="921"/>
      <c r="W18" s="919"/>
      <c r="X18" s="921"/>
      <c r="Y18" s="919"/>
      <c r="Z18" s="921"/>
      <c r="AA18" s="919"/>
      <c r="AB18" s="921"/>
      <c r="AC18" s="92"/>
      <c r="AD18" s="356"/>
      <c r="AE18" s="92"/>
      <c r="AF18" s="356"/>
      <c r="AG18" s="92"/>
      <c r="AH18" s="356"/>
      <c r="AI18" s="92"/>
      <c r="AJ18" s="356"/>
      <c r="AK18" s="92"/>
      <c r="AL18" s="356"/>
      <c r="AM18" s="922"/>
      <c r="AN18" s="381"/>
      <c r="AO18" s="92"/>
      <c r="AP18" s="356"/>
      <c r="AQ18" s="92"/>
      <c r="AR18" s="356"/>
      <c r="AS18" s="919"/>
      <c r="AT18" s="921"/>
      <c r="AU18" s="92"/>
      <c r="AV18" s="921"/>
      <c r="AW18" s="92"/>
      <c r="AX18" s="921">
        <v>867377</v>
      </c>
      <c r="AY18" s="919">
        <v>1073195</v>
      </c>
      <c r="AZ18" s="921">
        <f>AV18+AX18</f>
        <v>867377</v>
      </c>
      <c r="BA18" s="100">
        <f>AW18+AY18</f>
        <v>1073195</v>
      </c>
    </row>
    <row r="19" spans="1:53" x14ac:dyDescent="0.25">
      <c r="A19" s="350" t="s">
        <v>217</v>
      </c>
      <c r="B19" s="703">
        <f>B9</f>
        <v>40573</v>
      </c>
      <c r="C19" s="919">
        <f>C9</f>
        <v>29406</v>
      </c>
      <c r="D19" s="921">
        <v>273</v>
      </c>
      <c r="E19" s="919">
        <v>270</v>
      </c>
      <c r="F19" s="921"/>
      <c r="G19" s="919"/>
      <c r="H19" s="921">
        <f>H13</f>
        <v>58428</v>
      </c>
      <c r="I19" s="919">
        <f>I9</f>
        <v>51495</v>
      </c>
      <c r="J19" s="921">
        <f>J13</f>
        <v>3922</v>
      </c>
      <c r="K19" s="919">
        <f>K9</f>
        <v>3300</v>
      </c>
      <c r="L19" s="921">
        <f>L9</f>
        <v>2215</v>
      </c>
      <c r="M19" s="919">
        <v>826</v>
      </c>
      <c r="N19" s="921">
        <f>N9</f>
        <v>11964</v>
      </c>
      <c r="O19" s="919">
        <v>9096</v>
      </c>
      <c r="P19" s="921">
        <f>P9</f>
        <v>3487</v>
      </c>
      <c r="Q19" s="919">
        <f>Q9</f>
        <v>2039</v>
      </c>
      <c r="R19" s="921"/>
      <c r="S19" s="919">
        <v>62885</v>
      </c>
      <c r="T19" s="921">
        <v>7694</v>
      </c>
      <c r="U19" s="919">
        <v>4111</v>
      </c>
      <c r="V19" s="921">
        <v>158531</v>
      </c>
      <c r="W19" s="919">
        <v>64283</v>
      </c>
      <c r="X19" s="921">
        <v>131412</v>
      </c>
      <c r="Y19" s="919">
        <f>Y13</f>
        <v>94012</v>
      </c>
      <c r="Z19" s="921">
        <f>Z9</f>
        <v>2048</v>
      </c>
      <c r="AA19" s="919">
        <f>AA13</f>
        <v>1395</v>
      </c>
      <c r="AB19" s="921">
        <f>AB9</f>
        <v>3370</v>
      </c>
      <c r="AC19" s="92">
        <f>AC13</f>
        <v>2322</v>
      </c>
      <c r="AD19" s="356">
        <f>AD9</f>
        <v>10460</v>
      </c>
      <c r="AE19" s="92">
        <v>7397</v>
      </c>
      <c r="AF19" s="356">
        <f>AF9</f>
        <v>80293</v>
      </c>
      <c r="AG19" s="92">
        <f>AG13</f>
        <v>66607</v>
      </c>
      <c r="AH19" s="356">
        <f>AH9</f>
        <v>23146</v>
      </c>
      <c r="AI19" s="92">
        <f>AI9</f>
        <v>16288</v>
      </c>
      <c r="AJ19" s="356">
        <f>AJ9</f>
        <v>11191</v>
      </c>
      <c r="AK19" s="92">
        <f>AK13</f>
        <v>8213</v>
      </c>
      <c r="AL19" s="356"/>
      <c r="AM19" s="922"/>
      <c r="AN19" s="381">
        <v>25404</v>
      </c>
      <c r="AO19" s="92">
        <v>16888</v>
      </c>
      <c r="AP19" s="356">
        <v>12758</v>
      </c>
      <c r="AQ19" s="92">
        <f>AQ9</f>
        <v>8884</v>
      </c>
      <c r="AR19" s="356">
        <f>AR9</f>
        <v>2474</v>
      </c>
      <c r="AS19" s="919">
        <f>AS13</f>
        <v>1690</v>
      </c>
      <c r="AT19" s="921">
        <f>AT9</f>
        <v>52929</v>
      </c>
      <c r="AU19" s="92">
        <f>AU9</f>
        <v>50630</v>
      </c>
      <c r="AV19" s="921">
        <f>SUM(B19+D19+F19+H19+J19+L19+N19+P19+R19+T19+V19+X19+Z19+AB19+AD19+AF19+AH19+AJ19+AL19+AN19+AP19+AR19+AT19)</f>
        <v>642572</v>
      </c>
      <c r="AW19" s="1135">
        <f>SUM(C19+E19+G19+I19+K19+M19+O19+Q19+S19+U19+W19+Y19+AA19+AC19+AE19+AG19+AI19+AK19+AM19+AO19+AQ19+AS19+AU19)</f>
        <v>502037</v>
      </c>
      <c r="AX19" s="921">
        <v>11164651</v>
      </c>
      <c r="AY19" s="919">
        <v>10442616</v>
      </c>
      <c r="AZ19" s="921">
        <f>AV19+AX19</f>
        <v>11807223</v>
      </c>
      <c r="BA19" s="100">
        <f>AW19+AY19</f>
        <v>10944653</v>
      </c>
    </row>
    <row r="20" spans="1:53" x14ac:dyDescent="0.25">
      <c r="A20" s="350" t="s">
        <v>218</v>
      </c>
      <c r="B20" s="703"/>
      <c r="C20" s="919"/>
      <c r="D20" s="921">
        <v>7251</v>
      </c>
      <c r="E20" s="919">
        <v>7251</v>
      </c>
      <c r="F20" s="921"/>
      <c r="G20" s="919"/>
      <c r="H20" s="921"/>
      <c r="I20" s="919"/>
      <c r="J20" s="921"/>
      <c r="K20" s="919"/>
      <c r="L20" s="921"/>
      <c r="M20" s="919"/>
      <c r="N20" s="921"/>
      <c r="O20" s="919"/>
      <c r="P20" s="921">
        <f>P10</f>
        <v>64</v>
      </c>
      <c r="Q20" s="919">
        <f>Q10</f>
        <v>50</v>
      </c>
      <c r="R20" s="921"/>
      <c r="S20" s="919">
        <v>25</v>
      </c>
      <c r="T20" s="921">
        <v>9</v>
      </c>
      <c r="U20" s="919">
        <v>1</v>
      </c>
      <c r="V20" s="921"/>
      <c r="W20" s="919"/>
      <c r="X20" s="921"/>
      <c r="Y20" s="919"/>
      <c r="Z20" s="921"/>
      <c r="AA20" s="919"/>
      <c r="AB20" s="921"/>
      <c r="AC20" s="92"/>
      <c r="AD20" s="356"/>
      <c r="AE20" s="92"/>
      <c r="AF20" s="356">
        <v>12190</v>
      </c>
      <c r="AG20" s="92"/>
      <c r="AH20" s="356"/>
      <c r="AI20" s="92"/>
      <c r="AJ20" s="356"/>
      <c r="AK20" s="92"/>
      <c r="AL20" s="356"/>
      <c r="AM20" s="922"/>
      <c r="AN20" s="381"/>
      <c r="AO20" s="92"/>
      <c r="AP20" s="356"/>
      <c r="AQ20" s="92"/>
      <c r="AR20" s="356"/>
      <c r="AS20" s="919"/>
      <c r="AT20" s="921"/>
      <c r="AU20" s="92"/>
      <c r="AV20" s="921"/>
      <c r="AW20" s="92"/>
      <c r="AX20" s="921">
        <f>616+1762+15984+1333+193925</f>
        <v>213620</v>
      </c>
      <c r="AY20" s="919">
        <f>30234+4452+86090+616+26572+1999+259168</f>
        <v>409131</v>
      </c>
      <c r="AZ20" s="921">
        <f>AV20+AX20</f>
        <v>213620</v>
      </c>
      <c r="BA20" s="100"/>
    </row>
    <row r="21" spans="1:53" ht="13.5" x14ac:dyDescent="0.3">
      <c r="A21" s="926" t="s">
        <v>301</v>
      </c>
      <c r="B21" s="928"/>
      <c r="C21" s="919"/>
      <c r="D21" s="921"/>
      <c r="E21" s="919"/>
      <c r="F21" s="921"/>
      <c r="G21" s="919"/>
      <c r="H21" s="921"/>
      <c r="I21" s="919"/>
      <c r="J21" s="921"/>
      <c r="K21" s="919"/>
      <c r="L21" s="921"/>
      <c r="M21" s="919"/>
      <c r="N21" s="921"/>
      <c r="O21" s="919"/>
      <c r="P21" s="921">
        <f>P12</f>
        <v>-1</v>
      </c>
      <c r="Q21" s="919">
        <v>-2</v>
      </c>
      <c r="R21" s="921"/>
      <c r="S21" s="919"/>
      <c r="T21" s="921"/>
      <c r="U21" s="919"/>
      <c r="V21" s="921"/>
      <c r="W21" s="919"/>
      <c r="X21" s="921"/>
      <c r="Y21" s="919"/>
      <c r="Z21" s="921"/>
      <c r="AA21" s="919"/>
      <c r="AB21" s="921"/>
      <c r="AC21" s="92"/>
      <c r="AD21" s="356"/>
      <c r="AE21" s="92"/>
      <c r="AF21" s="356"/>
      <c r="AG21" s="92"/>
      <c r="AH21" s="356"/>
      <c r="AI21" s="92"/>
      <c r="AJ21" s="356"/>
      <c r="AK21" s="92"/>
      <c r="AL21" s="356"/>
      <c r="AM21" s="922"/>
      <c r="AN21" s="381"/>
      <c r="AO21" s="92"/>
      <c r="AP21" s="356"/>
      <c r="AQ21" s="92"/>
      <c r="AR21" s="356"/>
      <c r="AS21" s="919"/>
      <c r="AT21" s="921"/>
      <c r="AU21" s="92"/>
      <c r="AV21" s="921"/>
      <c r="AW21" s="92"/>
      <c r="AX21" s="921">
        <v>-918613</v>
      </c>
      <c r="AY21" s="919">
        <v>-1124820</v>
      </c>
      <c r="AZ21" s="921">
        <f>AV21+AX21</f>
        <v>-918613</v>
      </c>
      <c r="BA21" s="100"/>
    </row>
    <row r="22" spans="1:53" s="1000" customFormat="1" ht="14.25" x14ac:dyDescent="0.3">
      <c r="A22" s="927" t="s">
        <v>54</v>
      </c>
      <c r="B22" s="929">
        <f>B9</f>
        <v>40573</v>
      </c>
      <c r="C22" s="993">
        <f>C9</f>
        <v>29406</v>
      </c>
      <c r="D22" s="929">
        <f>D19+D20</f>
        <v>7524</v>
      </c>
      <c r="E22" s="994">
        <f>E19+E20</f>
        <v>7521</v>
      </c>
      <c r="F22" s="995"/>
      <c r="G22" s="993"/>
      <c r="H22" s="929">
        <f>H13</f>
        <v>58428</v>
      </c>
      <c r="I22" s="993">
        <f>I19</f>
        <v>51495</v>
      </c>
      <c r="J22" s="929">
        <f>J13</f>
        <v>3922</v>
      </c>
      <c r="K22" s="993">
        <f>K9</f>
        <v>3300</v>
      </c>
      <c r="L22" s="929">
        <f>L9</f>
        <v>2215</v>
      </c>
      <c r="M22" s="993">
        <v>826</v>
      </c>
      <c r="N22" s="929">
        <f>N9</f>
        <v>11964</v>
      </c>
      <c r="O22" s="993">
        <f>O19</f>
        <v>9096</v>
      </c>
      <c r="P22" s="929">
        <f>P13</f>
        <v>3550</v>
      </c>
      <c r="Q22" s="993">
        <v>2087</v>
      </c>
      <c r="R22" s="929"/>
      <c r="S22" s="993">
        <f>S13</f>
        <v>62910</v>
      </c>
      <c r="T22" s="929">
        <v>7702</v>
      </c>
      <c r="U22" s="993">
        <v>4112</v>
      </c>
      <c r="V22" s="929">
        <v>158531</v>
      </c>
      <c r="W22" s="993">
        <f>W13</f>
        <v>64283</v>
      </c>
      <c r="X22" s="929">
        <v>131412</v>
      </c>
      <c r="Y22" s="993">
        <f>Y13</f>
        <v>94012</v>
      </c>
      <c r="Z22" s="929">
        <f>Z9</f>
        <v>2048</v>
      </c>
      <c r="AA22" s="993">
        <f>AA19</f>
        <v>1395</v>
      </c>
      <c r="AB22" s="929">
        <f>AB13</f>
        <v>3370</v>
      </c>
      <c r="AC22" s="996">
        <f>AC19</f>
        <v>2322</v>
      </c>
      <c r="AD22" s="997">
        <f>AD9</f>
        <v>10460</v>
      </c>
      <c r="AE22" s="996">
        <f>AE13</f>
        <v>7397</v>
      </c>
      <c r="AF22" s="997">
        <f>AF13</f>
        <v>92483</v>
      </c>
      <c r="AG22" s="996">
        <f>AG19</f>
        <v>66607</v>
      </c>
      <c r="AH22" s="997">
        <f>AH9</f>
        <v>23146</v>
      </c>
      <c r="AI22" s="996">
        <f>AI9</f>
        <v>16288</v>
      </c>
      <c r="AJ22" s="997">
        <f>AJ9</f>
        <v>11191</v>
      </c>
      <c r="AK22" s="996">
        <f>AK19</f>
        <v>8213</v>
      </c>
      <c r="AL22" s="997"/>
      <c r="AM22" s="998"/>
      <c r="AN22" s="999">
        <f>AN13</f>
        <v>38892</v>
      </c>
      <c r="AO22" s="996">
        <f>AO13</f>
        <v>36268</v>
      </c>
      <c r="AP22" s="997">
        <f>AP9</f>
        <v>12758</v>
      </c>
      <c r="AQ22" s="996">
        <f>AQ9</f>
        <v>8884</v>
      </c>
      <c r="AR22" s="997">
        <f>AR9</f>
        <v>2474</v>
      </c>
      <c r="AS22" s="993">
        <f>AS19</f>
        <v>1690</v>
      </c>
      <c r="AT22" s="929">
        <f>AT9</f>
        <v>52929</v>
      </c>
      <c r="AU22" s="996">
        <f>AU9</f>
        <v>50630</v>
      </c>
      <c r="AV22" s="929">
        <f>SUM(B22+D22+F22+H22+J22+L22+N22+P22+R22+T22+V22+X22+Z22+AB22+AD22+AF22+AH22+AJ22+AL22+AN22+AP22+AR22+AT22)</f>
        <v>675572</v>
      </c>
      <c r="AW22" s="1217">
        <f>SUM(C22+E22+G22+I22+K22+M22+O22+Q22+S22+U22+W22+Y22+AA22+AC22+AE22+AG22+AI22+AK22+AM22+AO22+AQ22+AS22+AU22)</f>
        <v>528742</v>
      </c>
      <c r="AX22" s="929">
        <f>AX13</f>
        <v>11556243</v>
      </c>
      <c r="AY22" s="993">
        <f>AY13</f>
        <v>10987561</v>
      </c>
      <c r="AZ22" s="929">
        <f>AV22+AX22</f>
        <v>12231815</v>
      </c>
      <c r="BA22" s="1218">
        <f>AW22+AY22</f>
        <v>11516303</v>
      </c>
    </row>
    <row r="23" spans="1:53" ht="14.25" x14ac:dyDescent="0.3">
      <c r="A23" s="395" t="s">
        <v>219</v>
      </c>
      <c r="B23" s="854"/>
      <c r="C23" s="919"/>
      <c r="D23" s="921"/>
      <c r="E23" s="919"/>
      <c r="F23" s="921"/>
      <c r="G23" s="919"/>
      <c r="H23" s="921"/>
      <c r="I23" s="919"/>
      <c r="J23" s="921"/>
      <c r="K23" s="919"/>
      <c r="L23" s="921"/>
      <c r="M23" s="919"/>
      <c r="N23" s="921"/>
      <c r="O23" s="919"/>
      <c r="P23" s="921"/>
      <c r="Q23" s="919"/>
      <c r="R23" s="921"/>
      <c r="S23" s="919"/>
      <c r="T23" s="921"/>
      <c r="U23" s="919"/>
      <c r="V23" s="921"/>
      <c r="W23" s="919"/>
      <c r="X23" s="921"/>
      <c r="Y23" s="919"/>
      <c r="Z23" s="921"/>
      <c r="AA23" s="919"/>
      <c r="AB23" s="921"/>
      <c r="AC23" s="92"/>
      <c r="AD23" s="356"/>
      <c r="AE23" s="92"/>
      <c r="AF23" s="356"/>
      <c r="AG23" s="92"/>
      <c r="AH23" s="356"/>
      <c r="AI23" s="92"/>
      <c r="AJ23" s="356"/>
      <c r="AK23" s="92"/>
      <c r="AL23" s="356"/>
      <c r="AM23" s="922"/>
      <c r="AN23" s="381"/>
      <c r="AO23" s="92"/>
      <c r="AP23" s="356"/>
      <c r="AQ23" s="92"/>
      <c r="AR23" s="356"/>
      <c r="AS23" s="919"/>
      <c r="AT23" s="921"/>
      <c r="AU23" s="92"/>
      <c r="AV23" s="921"/>
      <c r="AW23" s="92"/>
      <c r="AX23" s="921"/>
      <c r="AY23" s="919"/>
      <c r="AZ23" s="921"/>
      <c r="BA23" s="100"/>
    </row>
    <row r="24" spans="1:53" x14ac:dyDescent="0.25">
      <c r="A24" s="350" t="s">
        <v>220</v>
      </c>
      <c r="B24" s="703"/>
      <c r="C24" s="919"/>
      <c r="D24" s="921"/>
      <c r="E24" s="919"/>
      <c r="F24" s="921"/>
      <c r="G24" s="919"/>
      <c r="H24" s="921"/>
      <c r="I24" s="919"/>
      <c r="J24" s="921"/>
      <c r="K24" s="919"/>
      <c r="L24" s="921"/>
      <c r="M24" s="919"/>
      <c r="N24" s="921"/>
      <c r="O24" s="919"/>
      <c r="P24" s="921"/>
      <c r="Q24" s="919"/>
      <c r="R24" s="921"/>
      <c r="S24" s="919"/>
      <c r="T24" s="921"/>
      <c r="U24" s="919"/>
      <c r="V24" s="921"/>
      <c r="W24" s="919"/>
      <c r="X24" s="921"/>
      <c r="Y24" s="919"/>
      <c r="Z24" s="921"/>
      <c r="AA24" s="919"/>
      <c r="AB24" s="921"/>
      <c r="AC24" s="92"/>
      <c r="AD24" s="356"/>
      <c r="AE24" s="92"/>
      <c r="AF24" s="356"/>
      <c r="AG24" s="92"/>
      <c r="AH24" s="356"/>
      <c r="AI24" s="92"/>
      <c r="AJ24" s="356"/>
      <c r="AK24" s="92"/>
      <c r="AL24" s="356"/>
      <c r="AM24" s="922"/>
      <c r="AN24" s="381"/>
      <c r="AO24" s="92"/>
      <c r="AP24" s="356"/>
      <c r="AQ24" s="92"/>
      <c r="AR24" s="356"/>
      <c r="AS24" s="919"/>
      <c r="AT24" s="921"/>
      <c r="AU24" s="92"/>
      <c r="AV24" s="921"/>
      <c r="AW24" s="92"/>
      <c r="AX24" s="921"/>
      <c r="AY24" s="919"/>
      <c r="AZ24" s="921"/>
      <c r="BA24" s="100"/>
    </row>
    <row r="25" spans="1:53" x14ac:dyDescent="0.25">
      <c r="A25" s="350" t="s">
        <v>221</v>
      </c>
      <c r="B25" s="703">
        <f>B9</f>
        <v>40573</v>
      </c>
      <c r="C25" s="919">
        <f>C9</f>
        <v>29406</v>
      </c>
      <c r="D25" s="921">
        <v>7524</v>
      </c>
      <c r="E25" s="930">
        <f>E22</f>
        <v>7521</v>
      </c>
      <c r="F25" s="109"/>
      <c r="G25" s="919"/>
      <c r="H25" s="921">
        <v>58428</v>
      </c>
      <c r="I25" s="919">
        <f>I22</f>
        <v>51495</v>
      </c>
      <c r="J25" s="921">
        <f>J13</f>
        <v>3922</v>
      </c>
      <c r="K25" s="919">
        <f>K9</f>
        <v>3300</v>
      </c>
      <c r="L25" s="921">
        <f>L9</f>
        <v>2215</v>
      </c>
      <c r="M25" s="919">
        <v>826</v>
      </c>
      <c r="N25" s="921">
        <f>N9</f>
        <v>11964</v>
      </c>
      <c r="O25" s="919">
        <f>O19</f>
        <v>9096</v>
      </c>
      <c r="P25" s="921">
        <v>3550</v>
      </c>
      <c r="Q25" s="919">
        <f>Q22</f>
        <v>2087</v>
      </c>
      <c r="R25" s="921"/>
      <c r="S25" s="919">
        <f>S22</f>
        <v>62910</v>
      </c>
      <c r="T25" s="921">
        <v>7702</v>
      </c>
      <c r="U25" s="919">
        <f>U22</f>
        <v>4112</v>
      </c>
      <c r="V25" s="921">
        <v>158531</v>
      </c>
      <c r="W25" s="919">
        <f t="shared" ref="W25:AG25" si="1">W22</f>
        <v>64283</v>
      </c>
      <c r="X25" s="921">
        <f>X19</f>
        <v>131412</v>
      </c>
      <c r="Y25" s="919">
        <f t="shared" si="1"/>
        <v>94012</v>
      </c>
      <c r="Z25" s="921">
        <f>Z9</f>
        <v>2048</v>
      </c>
      <c r="AA25" s="919">
        <f t="shared" si="1"/>
        <v>1395</v>
      </c>
      <c r="AB25" s="921">
        <f>AB13</f>
        <v>3370</v>
      </c>
      <c r="AC25" s="92">
        <f t="shared" si="1"/>
        <v>2322</v>
      </c>
      <c r="AD25" s="356">
        <f>AD9</f>
        <v>10460</v>
      </c>
      <c r="AE25" s="92">
        <f t="shared" si="1"/>
        <v>7397</v>
      </c>
      <c r="AF25" s="356">
        <v>92483</v>
      </c>
      <c r="AG25" s="92">
        <f t="shared" si="1"/>
        <v>66607</v>
      </c>
      <c r="AH25" s="356">
        <f>AH9</f>
        <v>23146</v>
      </c>
      <c r="AI25" s="92">
        <f>AI9</f>
        <v>16288</v>
      </c>
      <c r="AJ25" s="356">
        <f>AJ22</f>
        <v>11191</v>
      </c>
      <c r="AK25" s="92">
        <f>AK22</f>
        <v>8213</v>
      </c>
      <c r="AL25" s="356"/>
      <c r="AM25" s="922"/>
      <c r="AN25" s="381">
        <v>38892</v>
      </c>
      <c r="AO25" s="92">
        <f>AO22</f>
        <v>36268</v>
      </c>
      <c r="AP25" s="356">
        <f>AP9</f>
        <v>12758</v>
      </c>
      <c r="AQ25" s="92">
        <f>AQ9</f>
        <v>8884</v>
      </c>
      <c r="AR25" s="356">
        <f>AR9</f>
        <v>2474</v>
      </c>
      <c r="AS25" s="919">
        <f>AS22</f>
        <v>1690</v>
      </c>
      <c r="AT25" s="921">
        <f>AT9</f>
        <v>52929</v>
      </c>
      <c r="AU25" s="92">
        <f>AU9</f>
        <v>50630</v>
      </c>
      <c r="AV25" s="921">
        <f>SUM(B25+D25+F25+H25+J25+L25+N25+P25+R25+T25+V25+X25+Z25+AB25+AD25+AF25+AH25+AJ25+AL25+AN25+AP25+AR25+AT25)</f>
        <v>675572</v>
      </c>
      <c r="AW25" s="1135">
        <f>SUM(C25+E25+G25+I25+K25+M25+O25+Q25+S25+U25+W25+Y25+AA25+AC25+AE25+AG25+AI25+AK25+AM25+AO25+AQ25+AS25+AU25)</f>
        <v>528742</v>
      </c>
      <c r="AX25" s="921">
        <v>11589665</v>
      </c>
      <c r="AY25" s="919">
        <v>11015087</v>
      </c>
      <c r="AZ25" s="921">
        <f t="shared" ref="AZ25:BA27" si="2">AV25+AX25</f>
        <v>12265237</v>
      </c>
      <c r="BA25" s="100">
        <f t="shared" si="2"/>
        <v>11543829</v>
      </c>
    </row>
    <row r="26" spans="1:53" x14ac:dyDescent="0.25">
      <c r="A26" s="350" t="s">
        <v>222</v>
      </c>
      <c r="B26" s="703"/>
      <c r="C26" s="919"/>
      <c r="D26" s="921"/>
      <c r="E26" s="919"/>
      <c r="F26" s="921"/>
      <c r="G26" s="919"/>
      <c r="H26" s="921"/>
      <c r="I26" s="919"/>
      <c r="J26" s="921"/>
      <c r="K26" s="919"/>
      <c r="L26" s="921"/>
      <c r="M26" s="919"/>
      <c r="N26" s="921"/>
      <c r="O26" s="919"/>
      <c r="P26" s="921"/>
      <c r="Q26" s="919"/>
      <c r="R26" s="921"/>
      <c r="S26" s="919"/>
      <c r="T26" s="921"/>
      <c r="U26" s="919"/>
      <c r="V26" s="921"/>
      <c r="W26" s="919"/>
      <c r="X26" s="921"/>
      <c r="Y26" s="919"/>
      <c r="Z26" s="921"/>
      <c r="AA26" s="919"/>
      <c r="AB26" s="921"/>
      <c r="AC26" s="92"/>
      <c r="AD26" s="356"/>
      <c r="AE26" s="92"/>
      <c r="AF26" s="356"/>
      <c r="AG26" s="92"/>
      <c r="AH26" s="356"/>
      <c r="AI26" s="92"/>
      <c r="AJ26" s="356"/>
      <c r="AK26" s="92"/>
      <c r="AL26" s="356"/>
      <c r="AM26" s="922"/>
      <c r="AN26" s="381"/>
      <c r="AO26" s="92"/>
      <c r="AP26" s="356"/>
      <c r="AQ26" s="92"/>
      <c r="AR26" s="356"/>
      <c r="AS26" s="919"/>
      <c r="AT26" s="921"/>
      <c r="AU26" s="92"/>
      <c r="AV26" s="921"/>
      <c r="AW26" s="92"/>
      <c r="AX26" s="921">
        <v>17137</v>
      </c>
      <c r="AY26" s="919">
        <v>15258</v>
      </c>
      <c r="AZ26" s="921">
        <f t="shared" si="2"/>
        <v>17137</v>
      </c>
      <c r="BA26" s="100">
        <f t="shared" si="2"/>
        <v>15258</v>
      </c>
    </row>
    <row r="27" spans="1:53" ht="13.5" x14ac:dyDescent="0.3">
      <c r="A27" s="926" t="s">
        <v>303</v>
      </c>
      <c r="B27" s="928"/>
      <c r="C27" s="919"/>
      <c r="D27" s="921"/>
      <c r="E27" s="919"/>
      <c r="F27" s="921"/>
      <c r="G27" s="919"/>
      <c r="H27" s="921"/>
      <c r="I27" s="919"/>
      <c r="J27" s="921"/>
      <c r="K27" s="919"/>
      <c r="L27" s="921"/>
      <c r="M27" s="919"/>
      <c r="N27" s="921"/>
      <c r="O27" s="919"/>
      <c r="P27" s="921"/>
      <c r="Q27" s="919"/>
      <c r="R27" s="921"/>
      <c r="S27" s="919"/>
      <c r="T27" s="921"/>
      <c r="U27" s="919"/>
      <c r="V27" s="921"/>
      <c r="W27" s="919"/>
      <c r="X27" s="921"/>
      <c r="Y27" s="919"/>
      <c r="Z27" s="921"/>
      <c r="AA27" s="919"/>
      <c r="AB27" s="921"/>
      <c r="AC27" s="92"/>
      <c r="AD27" s="356"/>
      <c r="AE27" s="92"/>
      <c r="AF27" s="356"/>
      <c r="AG27" s="92"/>
      <c r="AH27" s="356"/>
      <c r="AI27" s="92"/>
      <c r="AJ27" s="356"/>
      <c r="AK27" s="92"/>
      <c r="AL27" s="356"/>
      <c r="AM27" s="922"/>
      <c r="AN27" s="381"/>
      <c r="AO27" s="92"/>
      <c r="AP27" s="356"/>
      <c r="AQ27" s="92"/>
      <c r="AR27" s="356"/>
      <c r="AS27" s="919"/>
      <c r="AT27" s="921"/>
      <c r="AU27" s="92"/>
      <c r="AV27" s="921"/>
      <c r="AW27" s="92"/>
      <c r="AX27" s="921">
        <v>-51152</v>
      </c>
      <c r="AY27" s="919">
        <v>-50600</v>
      </c>
      <c r="AZ27" s="921">
        <f t="shared" si="2"/>
        <v>-51152</v>
      </c>
      <c r="BA27" s="100">
        <f t="shared" si="2"/>
        <v>-50600</v>
      </c>
    </row>
    <row r="28" spans="1:53" x14ac:dyDescent="0.25">
      <c r="A28" s="350" t="s">
        <v>223</v>
      </c>
      <c r="B28" s="703"/>
      <c r="C28" s="919"/>
      <c r="D28" s="921"/>
      <c r="E28" s="919"/>
      <c r="F28" s="921"/>
      <c r="G28" s="919"/>
      <c r="H28" s="921"/>
      <c r="I28" s="919"/>
      <c r="J28" s="921"/>
      <c r="K28" s="919"/>
      <c r="L28" s="921"/>
      <c r="M28" s="919"/>
      <c r="N28" s="921"/>
      <c r="O28" s="919"/>
      <c r="P28" s="921"/>
      <c r="Q28" s="919"/>
      <c r="R28" s="921"/>
      <c r="S28" s="919"/>
      <c r="T28" s="921"/>
      <c r="U28" s="919"/>
      <c r="V28" s="921"/>
      <c r="W28" s="919"/>
      <c r="X28" s="921"/>
      <c r="Y28" s="919"/>
      <c r="Z28" s="921"/>
      <c r="AA28" s="919"/>
      <c r="AB28" s="921"/>
      <c r="AC28" s="92"/>
      <c r="AD28" s="356"/>
      <c r="AE28" s="92"/>
      <c r="AF28" s="356"/>
      <c r="AG28" s="92"/>
      <c r="AH28" s="356"/>
      <c r="AI28" s="92"/>
      <c r="AJ28" s="356"/>
      <c r="AK28" s="92"/>
      <c r="AL28" s="356"/>
      <c r="AM28" s="922"/>
      <c r="AN28" s="381"/>
      <c r="AO28" s="92"/>
      <c r="AP28" s="356"/>
      <c r="AQ28" s="92"/>
      <c r="AR28" s="356"/>
      <c r="AS28" s="919"/>
      <c r="AT28" s="921"/>
      <c r="AU28" s="92"/>
      <c r="AV28" s="921"/>
      <c r="AW28" s="92"/>
      <c r="AX28" s="921"/>
      <c r="AY28" s="919"/>
      <c r="AZ28" s="921"/>
      <c r="BA28" s="100"/>
    </row>
    <row r="29" spans="1:53" x14ac:dyDescent="0.25">
      <c r="A29" s="350" t="s">
        <v>221</v>
      </c>
      <c r="B29" s="703"/>
      <c r="C29" s="919"/>
      <c r="D29" s="921"/>
      <c r="E29" s="919"/>
      <c r="F29" s="921"/>
      <c r="G29" s="919"/>
      <c r="H29" s="921"/>
      <c r="I29" s="919"/>
      <c r="J29" s="921"/>
      <c r="K29" s="919"/>
      <c r="L29" s="921"/>
      <c r="M29" s="919"/>
      <c r="N29" s="921"/>
      <c r="O29" s="919"/>
      <c r="P29" s="921"/>
      <c r="Q29" s="919"/>
      <c r="R29" s="921"/>
      <c r="S29" s="919"/>
      <c r="T29" s="921"/>
      <c r="U29" s="919"/>
      <c r="V29" s="921"/>
      <c r="W29" s="919"/>
      <c r="X29" s="921"/>
      <c r="Y29" s="919"/>
      <c r="Z29" s="921"/>
      <c r="AA29" s="919"/>
      <c r="AB29" s="921"/>
      <c r="AC29" s="92"/>
      <c r="AD29" s="356"/>
      <c r="AE29" s="92"/>
      <c r="AF29" s="356"/>
      <c r="AG29" s="92"/>
      <c r="AH29" s="356"/>
      <c r="AI29" s="92"/>
      <c r="AJ29" s="356"/>
      <c r="AK29" s="92"/>
      <c r="AL29" s="356"/>
      <c r="AM29" s="922"/>
      <c r="AN29" s="381"/>
      <c r="AO29" s="92"/>
      <c r="AP29" s="356"/>
      <c r="AQ29" s="92"/>
      <c r="AR29" s="356"/>
      <c r="AS29" s="919"/>
      <c r="AT29" s="921"/>
      <c r="AU29" s="92"/>
      <c r="AV29" s="921"/>
      <c r="AW29" s="92"/>
      <c r="AX29" s="921">
        <v>867145</v>
      </c>
      <c r="AY29" s="919">
        <v>1081108</v>
      </c>
      <c r="AZ29" s="921">
        <f t="shared" ref="AZ29:BA32" si="3">AV29+AX29</f>
        <v>867145</v>
      </c>
      <c r="BA29" s="100">
        <f t="shared" si="3"/>
        <v>1081108</v>
      </c>
    </row>
    <row r="30" spans="1:53" x14ac:dyDescent="0.25">
      <c r="A30" s="350" t="s">
        <v>224</v>
      </c>
      <c r="B30" s="703"/>
      <c r="C30" s="919"/>
      <c r="D30" s="921"/>
      <c r="E30" s="919"/>
      <c r="F30" s="921"/>
      <c r="G30" s="919"/>
      <c r="H30" s="921"/>
      <c r="I30" s="919"/>
      <c r="J30" s="921"/>
      <c r="K30" s="919"/>
      <c r="L30" s="921"/>
      <c r="M30" s="919"/>
      <c r="N30" s="921"/>
      <c r="O30" s="919"/>
      <c r="P30" s="921"/>
      <c r="Q30" s="919"/>
      <c r="R30" s="921"/>
      <c r="S30" s="919"/>
      <c r="T30" s="921"/>
      <c r="U30" s="919"/>
      <c r="V30" s="921"/>
      <c r="W30" s="919"/>
      <c r="X30" s="921"/>
      <c r="Y30" s="919"/>
      <c r="Z30" s="921"/>
      <c r="AA30" s="919"/>
      <c r="AB30" s="921"/>
      <c r="AC30" s="92"/>
      <c r="AD30" s="356"/>
      <c r="AE30" s="92"/>
      <c r="AF30" s="356"/>
      <c r="AG30" s="92"/>
      <c r="AH30" s="356"/>
      <c r="AI30" s="92"/>
      <c r="AJ30" s="356"/>
      <c r="AK30" s="92"/>
      <c r="AL30" s="356"/>
      <c r="AM30" s="922"/>
      <c r="AN30" s="381"/>
      <c r="AO30" s="92"/>
      <c r="AP30" s="356"/>
      <c r="AQ30" s="92"/>
      <c r="AR30" s="356"/>
      <c r="AS30" s="919"/>
      <c r="AT30" s="921"/>
      <c r="AU30" s="92"/>
      <c r="AV30" s="921"/>
      <c r="AW30" s="92"/>
      <c r="AX30" s="921">
        <v>910</v>
      </c>
      <c r="AY30" s="919">
        <v>929</v>
      </c>
      <c r="AZ30" s="921">
        <f t="shared" si="3"/>
        <v>910</v>
      </c>
      <c r="BA30" s="100">
        <f t="shared" si="3"/>
        <v>929</v>
      </c>
    </row>
    <row r="31" spans="1:53" ht="13.5" x14ac:dyDescent="0.3">
      <c r="A31" s="926" t="s">
        <v>302</v>
      </c>
      <c r="B31" s="928"/>
      <c r="C31" s="919"/>
      <c r="D31" s="921"/>
      <c r="E31" s="919"/>
      <c r="F31" s="921"/>
      <c r="G31" s="919"/>
      <c r="H31" s="921"/>
      <c r="I31" s="919"/>
      <c r="J31" s="921"/>
      <c r="K31" s="919"/>
      <c r="L31" s="921"/>
      <c r="M31" s="919"/>
      <c r="N31" s="921"/>
      <c r="O31" s="919"/>
      <c r="P31" s="921"/>
      <c r="Q31" s="919"/>
      <c r="R31" s="921"/>
      <c r="S31" s="919"/>
      <c r="T31" s="921"/>
      <c r="U31" s="919"/>
      <c r="V31" s="921"/>
      <c r="W31" s="919"/>
      <c r="X31" s="921"/>
      <c r="Y31" s="919"/>
      <c r="Z31" s="921"/>
      <c r="AA31" s="919"/>
      <c r="AB31" s="921"/>
      <c r="AC31" s="92"/>
      <c r="AD31" s="356"/>
      <c r="AE31" s="92"/>
      <c r="AF31" s="356"/>
      <c r="AG31" s="92"/>
      <c r="AH31" s="356"/>
      <c r="AI31" s="92"/>
      <c r="AJ31" s="356"/>
      <c r="AK31" s="92"/>
      <c r="AL31" s="356"/>
      <c r="AM31" s="922"/>
      <c r="AN31" s="381"/>
      <c r="AO31" s="92"/>
      <c r="AP31" s="356"/>
      <c r="AQ31" s="92"/>
      <c r="AR31" s="356"/>
      <c r="AS31" s="919"/>
      <c r="AT31" s="921"/>
      <c r="AU31" s="92"/>
      <c r="AV31" s="921"/>
      <c r="AW31" s="92"/>
      <c r="AX31" s="921">
        <v>-867462</v>
      </c>
      <c r="AY31" s="919">
        <v>-1074219</v>
      </c>
      <c r="AZ31" s="921">
        <f t="shared" si="3"/>
        <v>-867462</v>
      </c>
      <c r="BA31" s="100">
        <f t="shared" si="3"/>
        <v>-1074219</v>
      </c>
    </row>
    <row r="32" spans="1:53" s="986" customFormat="1" ht="14.25" x14ac:dyDescent="0.3">
      <c r="A32" s="395" t="s">
        <v>54</v>
      </c>
      <c r="B32" s="854">
        <f>B9</f>
        <v>40573</v>
      </c>
      <c r="C32" s="938">
        <f>C25</f>
        <v>29406</v>
      </c>
      <c r="D32" s="941">
        <f>D25</f>
        <v>7524</v>
      </c>
      <c r="E32" s="982">
        <f>E25</f>
        <v>7521</v>
      </c>
      <c r="F32" s="983"/>
      <c r="G32" s="938"/>
      <c r="H32" s="941">
        <v>58428</v>
      </c>
      <c r="I32" s="938">
        <f>I25</f>
        <v>51495</v>
      </c>
      <c r="J32" s="941">
        <f>J22</f>
        <v>3922</v>
      </c>
      <c r="K32" s="938">
        <f>K9</f>
        <v>3300</v>
      </c>
      <c r="L32" s="941">
        <f>L22</f>
        <v>2215</v>
      </c>
      <c r="M32" s="938">
        <v>826</v>
      </c>
      <c r="N32" s="941">
        <f>N9</f>
        <v>11964</v>
      </c>
      <c r="O32" s="938">
        <f>O25</f>
        <v>9096</v>
      </c>
      <c r="P32" s="941">
        <v>3550</v>
      </c>
      <c r="Q32" s="938">
        <f>Q25</f>
        <v>2087</v>
      </c>
      <c r="R32" s="941"/>
      <c r="S32" s="938">
        <f>S25</f>
        <v>62910</v>
      </c>
      <c r="T32" s="941">
        <v>7702</v>
      </c>
      <c r="U32" s="938">
        <f>U22</f>
        <v>4112</v>
      </c>
      <c r="V32" s="941">
        <v>158531</v>
      </c>
      <c r="W32" s="938">
        <f t="shared" ref="W32:AG32" si="4">W25</f>
        <v>64283</v>
      </c>
      <c r="X32" s="941">
        <f>X22</f>
        <v>131412</v>
      </c>
      <c r="Y32" s="938">
        <f t="shared" si="4"/>
        <v>94012</v>
      </c>
      <c r="Z32" s="941">
        <f>Z22</f>
        <v>2048</v>
      </c>
      <c r="AA32" s="938">
        <f t="shared" si="4"/>
        <v>1395</v>
      </c>
      <c r="AB32" s="941">
        <f>AB22</f>
        <v>3370</v>
      </c>
      <c r="AC32" s="937">
        <f t="shared" si="4"/>
        <v>2322</v>
      </c>
      <c r="AD32" s="943">
        <f>AD13</f>
        <v>10460</v>
      </c>
      <c r="AE32" s="937">
        <f t="shared" si="4"/>
        <v>7397</v>
      </c>
      <c r="AF32" s="943">
        <f>AF25</f>
        <v>92483</v>
      </c>
      <c r="AG32" s="937">
        <f t="shared" si="4"/>
        <v>66607</v>
      </c>
      <c r="AH32" s="943">
        <f>AH13</f>
        <v>23146</v>
      </c>
      <c r="AI32" s="937">
        <f>AI9</f>
        <v>16288</v>
      </c>
      <c r="AJ32" s="943">
        <f>AJ9</f>
        <v>11191</v>
      </c>
      <c r="AK32" s="937">
        <f>AK25</f>
        <v>8213</v>
      </c>
      <c r="AL32" s="943"/>
      <c r="AM32" s="984"/>
      <c r="AN32" s="985">
        <f>AN22</f>
        <v>38892</v>
      </c>
      <c r="AO32" s="937">
        <f>AO25</f>
        <v>36268</v>
      </c>
      <c r="AP32" s="943">
        <f>AP25</f>
        <v>12758</v>
      </c>
      <c r="AQ32" s="937">
        <f>AQ9</f>
        <v>8884</v>
      </c>
      <c r="AR32" s="943">
        <f>AR9</f>
        <v>2474</v>
      </c>
      <c r="AS32" s="938">
        <f>AS25</f>
        <v>1690</v>
      </c>
      <c r="AT32" s="941">
        <f>AT9</f>
        <v>52929</v>
      </c>
      <c r="AU32" s="937">
        <f>AU9</f>
        <v>50630</v>
      </c>
      <c r="AV32" s="941">
        <f>SUM(B32+D32+F32+H32+J32+L32+N32+P32+R32+T32+V32+X32+Z32+AB32+AD32+AF32+AH32+AJ32+AL32+AN32+AP32+AR32+AT32)</f>
        <v>675572</v>
      </c>
      <c r="AW32" s="1136">
        <f>SUM(C32+E32+G32+I32+K32+M32+O32+Q32+S32+U32+W32+Y32+AA32+AC32+AE32+AG32+AI32+AK32+AM32+AO32+AQ32+AS32+AU32)</f>
        <v>528742</v>
      </c>
      <c r="AX32" s="941">
        <v>11556243</v>
      </c>
      <c r="AY32" s="938">
        <v>10987563</v>
      </c>
      <c r="AZ32" s="941">
        <f t="shared" si="3"/>
        <v>12231815</v>
      </c>
      <c r="BA32" s="116">
        <f t="shared" si="3"/>
        <v>11516305</v>
      </c>
    </row>
    <row r="33" spans="1:53" ht="14.25" x14ac:dyDescent="0.3">
      <c r="A33" s="395" t="s">
        <v>225</v>
      </c>
      <c r="B33" s="854"/>
      <c r="C33" s="919"/>
      <c r="D33" s="921"/>
      <c r="E33" s="919"/>
      <c r="F33" s="921"/>
      <c r="G33" s="919"/>
      <c r="H33" s="921"/>
      <c r="I33" s="919"/>
      <c r="J33" s="921"/>
      <c r="K33" s="919"/>
      <c r="L33" s="921"/>
      <c r="M33" s="919"/>
      <c r="N33" s="921"/>
      <c r="O33" s="919"/>
      <c r="P33" s="921"/>
      <c r="Q33" s="919"/>
      <c r="R33" s="921"/>
      <c r="S33" s="919"/>
      <c r="T33" s="921"/>
      <c r="U33" s="919"/>
      <c r="V33" s="921"/>
      <c r="W33" s="919"/>
      <c r="X33" s="921"/>
      <c r="Y33" s="919"/>
      <c r="Z33" s="921"/>
      <c r="AA33" s="919"/>
      <c r="AB33" s="921"/>
      <c r="AC33" s="92"/>
      <c r="AD33" s="356"/>
      <c r="AE33" s="92"/>
      <c r="AF33" s="356"/>
      <c r="AG33" s="92"/>
      <c r="AH33" s="356"/>
      <c r="AI33" s="92"/>
      <c r="AJ33" s="356"/>
      <c r="AK33" s="92"/>
      <c r="AL33" s="356"/>
      <c r="AM33" s="922"/>
      <c r="AN33" s="381"/>
      <c r="AO33" s="92"/>
      <c r="AP33" s="356"/>
      <c r="AQ33" s="92"/>
      <c r="AR33" s="356"/>
      <c r="AS33" s="919"/>
      <c r="AT33" s="921"/>
      <c r="AU33" s="92"/>
      <c r="AV33" s="921"/>
      <c r="AW33" s="92"/>
      <c r="AX33" s="921"/>
      <c r="AY33" s="919"/>
      <c r="AZ33" s="921"/>
      <c r="BA33" s="100"/>
    </row>
    <row r="34" spans="1:53" x14ac:dyDescent="0.25">
      <c r="A34" s="350" t="s">
        <v>226</v>
      </c>
      <c r="B34" s="703">
        <v>480</v>
      </c>
      <c r="C34" s="919">
        <v>251</v>
      </c>
      <c r="D34" s="921"/>
      <c r="E34" s="919"/>
      <c r="F34" s="921"/>
      <c r="G34" s="919"/>
      <c r="H34" s="921">
        <v>6357</v>
      </c>
      <c r="I34" s="919">
        <v>5645</v>
      </c>
      <c r="J34" s="921">
        <v>1</v>
      </c>
      <c r="K34" s="919"/>
      <c r="L34" s="921"/>
      <c r="M34" s="919"/>
      <c r="N34" s="921">
        <v>630</v>
      </c>
      <c r="O34" s="919">
        <v>241</v>
      </c>
      <c r="P34" s="921">
        <v>84</v>
      </c>
      <c r="Q34" s="919">
        <v>48</v>
      </c>
      <c r="R34" s="921"/>
      <c r="S34" s="919">
        <v>3317</v>
      </c>
      <c r="T34" s="921">
        <v>63</v>
      </c>
      <c r="U34" s="919">
        <v>75</v>
      </c>
      <c r="V34" s="921">
        <v>26931</v>
      </c>
      <c r="W34" s="919">
        <v>19239</v>
      </c>
      <c r="X34" s="921">
        <v>3334</v>
      </c>
      <c r="Y34" s="919">
        <v>684</v>
      </c>
      <c r="Z34" s="921"/>
      <c r="AA34" s="919"/>
      <c r="AB34" s="921">
        <v>94</v>
      </c>
      <c r="AC34" s="92">
        <v>213</v>
      </c>
      <c r="AD34" s="356">
        <v>507</v>
      </c>
      <c r="AE34" s="92">
        <v>667</v>
      </c>
      <c r="AF34" s="356">
        <v>2420</v>
      </c>
      <c r="AG34" s="92">
        <v>1674</v>
      </c>
      <c r="AH34" s="356">
        <v>1406</v>
      </c>
      <c r="AI34" s="92">
        <v>478</v>
      </c>
      <c r="AJ34" s="356">
        <v>422</v>
      </c>
      <c r="AK34" s="92">
        <v>395</v>
      </c>
      <c r="AL34" s="356"/>
      <c r="AM34" s="922"/>
      <c r="AN34" s="381">
        <v>1665</v>
      </c>
      <c r="AO34" s="92">
        <v>4633</v>
      </c>
      <c r="AP34" s="356">
        <v>328</v>
      </c>
      <c r="AQ34" s="92">
        <v>234</v>
      </c>
      <c r="AR34" s="356">
        <v>212</v>
      </c>
      <c r="AS34" s="919">
        <v>270</v>
      </c>
      <c r="AT34" s="921">
        <v>1991</v>
      </c>
      <c r="AU34" s="92">
        <v>2251</v>
      </c>
      <c r="AV34" s="921">
        <f>SUM(B34+D34+F34+H34+J34+L34+N34+P34+R34+T34+V34+X34+Z34+AB34+AD34+AF34+AH34+AJ34+AL34+AN34+AP34+AR34+AT34)</f>
        <v>46925</v>
      </c>
      <c r="AW34" s="1135">
        <f>SUM(C34+E34+G34+I34+K34+M34+O34+Q34+S34+U34+W34+Y34+AA34+AC34+AE34+AG34+AI34+AK34+AM34+AO34+AQ34+AS34+AU34)</f>
        <v>40315</v>
      </c>
      <c r="AX34" s="921"/>
      <c r="AY34" s="919"/>
      <c r="AZ34" s="921">
        <f>AV34+AX34</f>
        <v>46925</v>
      </c>
      <c r="BA34" s="100">
        <f>AW34+AY34</f>
        <v>40315</v>
      </c>
    </row>
    <row r="35" spans="1:53" x14ac:dyDescent="0.25">
      <c r="A35" s="350" t="s">
        <v>305</v>
      </c>
      <c r="B35" s="703"/>
      <c r="C35" s="919"/>
      <c r="D35" s="921"/>
      <c r="E35" s="919"/>
      <c r="F35" s="921"/>
      <c r="G35" s="919"/>
      <c r="H35" s="921"/>
      <c r="I35" s="919"/>
      <c r="J35" s="921"/>
      <c r="K35" s="919"/>
      <c r="L35" s="921"/>
      <c r="M35" s="919"/>
      <c r="N35" s="921"/>
      <c r="O35" s="919"/>
      <c r="P35" s="921"/>
      <c r="Q35" s="919"/>
      <c r="R35" s="921"/>
      <c r="S35" s="919"/>
      <c r="T35" s="921"/>
      <c r="U35" s="919"/>
      <c r="V35" s="921"/>
      <c r="W35" s="919"/>
      <c r="X35" s="921"/>
      <c r="Y35" s="919"/>
      <c r="Z35" s="921"/>
      <c r="AA35" s="919"/>
      <c r="AB35" s="921"/>
      <c r="AC35" s="92"/>
      <c r="AD35" s="356"/>
      <c r="AE35" s="92"/>
      <c r="AF35" s="356"/>
      <c r="AG35" s="92"/>
      <c r="AH35" s="356"/>
      <c r="AI35" s="92"/>
      <c r="AJ35" s="356"/>
      <c r="AK35" s="92"/>
      <c r="AL35" s="356"/>
      <c r="AM35" s="922"/>
      <c r="AN35" s="381"/>
      <c r="AO35" s="92"/>
      <c r="AP35" s="356"/>
      <c r="AQ35" s="92"/>
      <c r="AR35" s="356"/>
      <c r="AS35" s="919"/>
      <c r="AT35" s="921"/>
      <c r="AU35" s="92"/>
      <c r="AV35" s="921"/>
      <c r="AW35" s="92"/>
      <c r="AX35" s="921">
        <v>774693</v>
      </c>
      <c r="AY35" s="919">
        <v>486163</v>
      </c>
      <c r="AZ35" s="921">
        <f>AV35+AX35</f>
        <v>774693</v>
      </c>
      <c r="BA35" s="100">
        <f>AW35+AY35</f>
        <v>486163</v>
      </c>
    </row>
    <row r="36" spans="1:53" x14ac:dyDescent="0.25">
      <c r="A36" s="350" t="s">
        <v>304</v>
      </c>
      <c r="B36" s="703"/>
      <c r="C36" s="919"/>
      <c r="D36" s="921"/>
      <c r="E36" s="919"/>
      <c r="F36" s="921"/>
      <c r="G36" s="919"/>
      <c r="H36" s="921"/>
      <c r="I36" s="919"/>
      <c r="J36" s="921"/>
      <c r="K36" s="919"/>
      <c r="L36" s="921"/>
      <c r="M36" s="919"/>
      <c r="N36" s="921"/>
      <c r="O36" s="919"/>
      <c r="P36" s="921"/>
      <c r="Q36" s="919"/>
      <c r="R36" s="921"/>
      <c r="S36" s="919"/>
      <c r="T36" s="921"/>
      <c r="U36" s="919"/>
      <c r="V36" s="921"/>
      <c r="W36" s="919"/>
      <c r="X36" s="921"/>
      <c r="Y36" s="919"/>
      <c r="Z36" s="921"/>
      <c r="AA36" s="919"/>
      <c r="AB36" s="921"/>
      <c r="AC36" s="92"/>
      <c r="AD36" s="356"/>
      <c r="AE36" s="92"/>
      <c r="AF36" s="356"/>
      <c r="AG36" s="92"/>
      <c r="AH36" s="356"/>
      <c r="AI36" s="92"/>
      <c r="AJ36" s="356"/>
      <c r="AK36" s="92"/>
      <c r="AL36" s="356"/>
      <c r="AM36" s="922"/>
      <c r="AN36" s="381"/>
      <c r="AO36" s="92"/>
      <c r="AP36" s="356"/>
      <c r="AQ36" s="92"/>
      <c r="AR36" s="356"/>
      <c r="AS36" s="919"/>
      <c r="AT36" s="921"/>
      <c r="AU36" s="92"/>
      <c r="AV36" s="921"/>
      <c r="AW36" s="92"/>
      <c r="AX36" s="921"/>
      <c r="AY36" s="919"/>
      <c r="AZ36" s="921"/>
      <c r="BA36" s="100"/>
    </row>
    <row r="37" spans="1:53" x14ac:dyDescent="0.25">
      <c r="A37" s="580" t="s">
        <v>306</v>
      </c>
      <c r="B37" s="703"/>
      <c r="C37" s="919"/>
      <c r="D37" s="921"/>
      <c r="E37" s="919"/>
      <c r="F37" s="921"/>
      <c r="G37" s="919"/>
      <c r="H37" s="921"/>
      <c r="I37" s="919"/>
      <c r="J37" s="921"/>
      <c r="K37" s="919"/>
      <c r="L37" s="921"/>
      <c r="M37" s="919"/>
      <c r="N37" s="921"/>
      <c r="O37" s="919"/>
      <c r="P37" s="921"/>
      <c r="Q37" s="919"/>
      <c r="R37" s="921"/>
      <c r="S37" s="919"/>
      <c r="T37" s="921"/>
      <c r="U37" s="919"/>
      <c r="V37" s="921"/>
      <c r="W37" s="919"/>
      <c r="X37" s="921"/>
      <c r="Y37" s="919"/>
      <c r="Z37" s="921"/>
      <c r="AA37" s="919"/>
      <c r="AB37" s="921"/>
      <c r="AC37" s="92"/>
      <c r="AD37" s="356"/>
      <c r="AE37" s="92"/>
      <c r="AF37" s="356"/>
      <c r="AG37" s="92"/>
      <c r="AH37" s="356"/>
      <c r="AI37" s="92"/>
      <c r="AJ37" s="356"/>
      <c r="AK37" s="92"/>
      <c r="AL37" s="356"/>
      <c r="AM37" s="922"/>
      <c r="AN37" s="381"/>
      <c r="AO37" s="92"/>
      <c r="AP37" s="356"/>
      <c r="AQ37" s="92"/>
      <c r="AR37" s="356"/>
      <c r="AS37" s="919"/>
      <c r="AT37" s="921"/>
      <c r="AU37" s="92"/>
      <c r="AV37" s="921"/>
      <c r="AW37" s="92"/>
      <c r="AX37" s="921">
        <v>-399580</v>
      </c>
      <c r="AY37" s="919">
        <v>-450845</v>
      </c>
      <c r="AZ37" s="921">
        <f t="shared" ref="AZ37:BA39" si="5">AV37+AX37</f>
        <v>-399580</v>
      </c>
      <c r="BA37" s="100">
        <f t="shared" si="5"/>
        <v>-450845</v>
      </c>
    </row>
    <row r="38" spans="1:53" x14ac:dyDescent="0.25">
      <c r="A38" s="580" t="s">
        <v>227</v>
      </c>
      <c r="B38" s="703">
        <v>40093</v>
      </c>
      <c r="C38" s="919">
        <v>29155</v>
      </c>
      <c r="D38" s="921">
        <v>7524</v>
      </c>
      <c r="E38" s="930">
        <f>E32</f>
        <v>7521</v>
      </c>
      <c r="F38" s="109"/>
      <c r="G38" s="919"/>
      <c r="H38" s="921">
        <v>52071</v>
      </c>
      <c r="I38" s="919">
        <v>45850</v>
      </c>
      <c r="J38" s="921">
        <v>3291</v>
      </c>
      <c r="K38" s="919">
        <f>K9</f>
        <v>3300</v>
      </c>
      <c r="L38" s="921">
        <v>2215</v>
      </c>
      <c r="M38" s="919">
        <v>826</v>
      </c>
      <c r="N38" s="921">
        <v>11334</v>
      </c>
      <c r="O38" s="919">
        <v>8855</v>
      </c>
      <c r="P38" s="921">
        <v>3466</v>
      </c>
      <c r="Q38" s="919">
        <v>2039</v>
      </c>
      <c r="R38" s="921"/>
      <c r="S38" s="919">
        <v>59593</v>
      </c>
      <c r="T38" s="921">
        <v>7639</v>
      </c>
      <c r="U38" s="919">
        <v>4037</v>
      </c>
      <c r="V38" s="921">
        <v>131600</v>
      </c>
      <c r="W38" s="919">
        <v>45044</v>
      </c>
      <c r="X38" s="921">
        <v>128078</v>
      </c>
      <c r="Y38" s="919">
        <v>93328</v>
      </c>
      <c r="Z38" s="921">
        <f>Z22</f>
        <v>2048</v>
      </c>
      <c r="AA38" s="919">
        <v>1395</v>
      </c>
      <c r="AB38" s="921">
        <v>3276</v>
      </c>
      <c r="AC38" s="92">
        <v>2108</v>
      </c>
      <c r="AD38" s="356">
        <v>9953</v>
      </c>
      <c r="AE38" s="92">
        <v>6730</v>
      </c>
      <c r="AF38" s="356">
        <v>90063</v>
      </c>
      <c r="AG38" s="92">
        <v>64933</v>
      </c>
      <c r="AH38" s="356">
        <v>21740</v>
      </c>
      <c r="AI38" s="92">
        <v>15810</v>
      </c>
      <c r="AJ38" s="356">
        <v>10768</v>
      </c>
      <c r="AK38" s="92">
        <v>7817</v>
      </c>
      <c r="AL38" s="356"/>
      <c r="AM38" s="922"/>
      <c r="AN38" s="381">
        <v>37227</v>
      </c>
      <c r="AO38" s="92">
        <v>31636</v>
      </c>
      <c r="AP38" s="356">
        <v>12430</v>
      </c>
      <c r="AQ38" s="92">
        <v>8649</v>
      </c>
      <c r="AR38" s="356">
        <v>2262</v>
      </c>
      <c r="AS38" s="919">
        <v>1420</v>
      </c>
      <c r="AT38" s="921">
        <v>50938</v>
      </c>
      <c r="AU38" s="92">
        <v>48379</v>
      </c>
      <c r="AV38" s="921">
        <f>SUM(B38+D38+F38+H38+J38+L38+N38+P38+R38+T38+V38+X38+Z38+AB38+AD38+AF38+AH38+AJ38+AL38+AN38+AP38+AR38+AT38)</f>
        <v>628016</v>
      </c>
      <c r="AW38" s="1135">
        <f>SUM(C38+E38+G38+I38+K38+M38+O38+Q38+S38+U38+W38+Y38+AA38+AC38+AE38+AG38+AI38+AK38+AM38+AO38+AQ38+AS38+AU38)</f>
        <v>488425</v>
      </c>
      <c r="AX38" s="921"/>
      <c r="AY38" s="919"/>
      <c r="AZ38" s="921">
        <f t="shared" si="5"/>
        <v>628016</v>
      </c>
      <c r="BA38" s="100">
        <f t="shared" si="5"/>
        <v>488425</v>
      </c>
    </row>
    <row r="39" spans="1:53" x14ac:dyDescent="0.25">
      <c r="A39" s="350" t="s">
        <v>305</v>
      </c>
      <c r="B39" s="703"/>
      <c r="C39" s="919"/>
      <c r="D39" s="921"/>
      <c r="E39" s="930"/>
      <c r="F39" s="109"/>
      <c r="G39" s="919"/>
      <c r="H39" s="921"/>
      <c r="I39" s="919"/>
      <c r="J39" s="921"/>
      <c r="K39" s="919"/>
      <c r="L39" s="921"/>
      <c r="M39" s="919"/>
      <c r="N39" s="921"/>
      <c r="O39" s="919"/>
      <c r="P39" s="921"/>
      <c r="Q39" s="919"/>
      <c r="R39" s="921"/>
      <c r="S39" s="919"/>
      <c r="T39" s="921"/>
      <c r="U39" s="919"/>
      <c r="V39" s="921"/>
      <c r="W39" s="919"/>
      <c r="X39" s="921"/>
      <c r="Y39" s="919"/>
      <c r="Z39" s="921"/>
      <c r="AA39" s="919"/>
      <c r="AB39" s="921"/>
      <c r="AC39" s="92"/>
      <c r="AD39" s="356"/>
      <c r="AE39" s="92"/>
      <c r="AF39" s="356"/>
      <c r="AG39" s="92"/>
      <c r="AH39" s="356"/>
      <c r="AI39" s="92"/>
      <c r="AJ39" s="356"/>
      <c r="AK39" s="92"/>
      <c r="AL39" s="356"/>
      <c r="AM39" s="922"/>
      <c r="AN39" s="381"/>
      <c r="AO39" s="92"/>
      <c r="AP39" s="356"/>
      <c r="AQ39" s="92"/>
      <c r="AR39" s="356"/>
      <c r="AS39" s="919"/>
      <c r="AT39" s="921"/>
      <c r="AU39" s="92"/>
      <c r="AV39" s="921"/>
      <c r="AW39" s="92"/>
      <c r="AX39" s="921">
        <v>11700163</v>
      </c>
      <c r="AY39" s="919">
        <v>11626220</v>
      </c>
      <c r="AZ39" s="921">
        <f t="shared" si="5"/>
        <v>11700163</v>
      </c>
      <c r="BA39" s="100">
        <f t="shared" si="5"/>
        <v>11626220</v>
      </c>
    </row>
    <row r="40" spans="1:53" x14ac:dyDescent="0.25">
      <c r="A40" s="350" t="s">
        <v>304</v>
      </c>
      <c r="B40" s="703"/>
      <c r="C40" s="919"/>
      <c r="D40" s="921"/>
      <c r="E40" s="930"/>
      <c r="F40" s="109"/>
      <c r="G40" s="919"/>
      <c r="H40" s="921"/>
      <c r="I40" s="919"/>
      <c r="J40" s="921"/>
      <c r="K40" s="919"/>
      <c r="L40" s="921"/>
      <c r="M40" s="919"/>
      <c r="N40" s="921"/>
      <c r="O40" s="919"/>
      <c r="P40" s="921"/>
      <c r="Q40" s="919"/>
      <c r="R40" s="921"/>
      <c r="S40" s="919"/>
      <c r="T40" s="921"/>
      <c r="U40" s="919"/>
      <c r="V40" s="921"/>
      <c r="W40" s="919"/>
      <c r="X40" s="921"/>
      <c r="Y40" s="919"/>
      <c r="Z40" s="921"/>
      <c r="AA40" s="919"/>
      <c r="AB40" s="921"/>
      <c r="AC40" s="92"/>
      <c r="AD40" s="356"/>
      <c r="AE40" s="92"/>
      <c r="AF40" s="356"/>
      <c r="AG40" s="92"/>
      <c r="AH40" s="356"/>
      <c r="AI40" s="92"/>
      <c r="AJ40" s="356"/>
      <c r="AK40" s="92"/>
      <c r="AL40" s="356"/>
      <c r="AM40" s="922"/>
      <c r="AN40" s="381"/>
      <c r="AO40" s="92"/>
      <c r="AP40" s="356"/>
      <c r="AQ40" s="92"/>
      <c r="AR40" s="356"/>
      <c r="AS40" s="919"/>
      <c r="AT40" s="921"/>
      <c r="AU40" s="92"/>
      <c r="AV40" s="921"/>
      <c r="AW40" s="92"/>
      <c r="AX40" s="921"/>
      <c r="AY40" s="919"/>
      <c r="AZ40" s="921"/>
      <c r="BA40" s="100"/>
    </row>
    <row r="41" spans="1:53" ht="13.5" thickBot="1" x14ac:dyDescent="0.3">
      <c r="A41" s="580" t="s">
        <v>307</v>
      </c>
      <c r="B41" s="931"/>
      <c r="C41" s="920"/>
      <c r="D41" s="932"/>
      <c r="E41" s="933"/>
      <c r="F41" s="934"/>
      <c r="G41" s="920"/>
      <c r="H41" s="932"/>
      <c r="I41" s="920"/>
      <c r="J41" s="932"/>
      <c r="K41" s="920"/>
      <c r="L41" s="932"/>
      <c r="M41" s="920"/>
      <c r="N41" s="932"/>
      <c r="O41" s="920"/>
      <c r="P41" s="932"/>
      <c r="Q41" s="920"/>
      <c r="R41" s="932"/>
      <c r="S41" s="920"/>
      <c r="T41" s="932"/>
      <c r="U41" s="920"/>
      <c r="V41" s="932"/>
      <c r="W41" s="920"/>
      <c r="X41" s="932"/>
      <c r="Y41" s="920"/>
      <c r="Z41" s="932"/>
      <c r="AA41" s="920"/>
      <c r="AB41" s="932"/>
      <c r="AC41" s="514"/>
      <c r="AD41" s="515"/>
      <c r="AE41" s="514"/>
      <c r="AF41" s="515"/>
      <c r="AG41" s="514"/>
      <c r="AH41" s="515"/>
      <c r="AI41" s="514"/>
      <c r="AJ41" s="515"/>
      <c r="AK41" s="514"/>
      <c r="AL41" s="515"/>
      <c r="AM41" s="935"/>
      <c r="AN41" s="426"/>
      <c r="AO41" s="514"/>
      <c r="AP41" s="515"/>
      <c r="AQ41" s="514"/>
      <c r="AR41" s="515"/>
      <c r="AS41" s="920"/>
      <c r="AT41" s="932"/>
      <c r="AU41" s="514"/>
      <c r="AV41" s="932"/>
      <c r="AW41" s="514"/>
      <c r="AX41" s="932">
        <v>-519033</v>
      </c>
      <c r="AY41" s="920">
        <v>-673974</v>
      </c>
      <c r="AZ41" s="932">
        <f>AV41+AX41</f>
        <v>-519033</v>
      </c>
      <c r="BA41" s="129">
        <f>AW41+AY41</f>
        <v>-673974</v>
      </c>
    </row>
    <row r="42" spans="1:53" s="1000" customFormat="1" ht="15" thickBot="1" x14ac:dyDescent="0.35">
      <c r="A42" s="1071" t="s">
        <v>54</v>
      </c>
      <c r="B42" s="1127">
        <v>40573</v>
      </c>
      <c r="C42" s="1128">
        <f t="shared" ref="C42:AU42" si="6">C34+C38</f>
        <v>29406</v>
      </c>
      <c r="D42" s="1127">
        <v>7524</v>
      </c>
      <c r="E42" s="1128">
        <f t="shared" si="6"/>
        <v>7521</v>
      </c>
      <c r="F42" s="1127"/>
      <c r="G42" s="1128">
        <f t="shared" si="6"/>
        <v>0</v>
      </c>
      <c r="H42" s="1127">
        <f>H32</f>
        <v>58428</v>
      </c>
      <c r="I42" s="1128">
        <f t="shared" si="6"/>
        <v>51495</v>
      </c>
      <c r="J42" s="1127">
        <f>J32</f>
        <v>3922</v>
      </c>
      <c r="K42" s="1128">
        <f t="shared" si="6"/>
        <v>3300</v>
      </c>
      <c r="L42" s="1127">
        <f>L32</f>
        <v>2215</v>
      </c>
      <c r="M42" s="1128">
        <f t="shared" si="6"/>
        <v>826</v>
      </c>
      <c r="N42" s="1127">
        <f>N19</f>
        <v>11964</v>
      </c>
      <c r="O42" s="1128">
        <f t="shared" si="6"/>
        <v>9096</v>
      </c>
      <c r="P42" s="1127">
        <v>3550</v>
      </c>
      <c r="Q42" s="1128">
        <f t="shared" si="6"/>
        <v>2087</v>
      </c>
      <c r="R42" s="1127"/>
      <c r="S42" s="1128">
        <f t="shared" si="6"/>
        <v>62910</v>
      </c>
      <c r="T42" s="1127">
        <v>7702</v>
      </c>
      <c r="U42" s="1128">
        <f t="shared" si="6"/>
        <v>4112</v>
      </c>
      <c r="V42" s="1127">
        <v>158531</v>
      </c>
      <c r="W42" s="1128">
        <f t="shared" si="6"/>
        <v>64283</v>
      </c>
      <c r="X42" s="1127">
        <f>X22</f>
        <v>131412</v>
      </c>
      <c r="Y42" s="1128">
        <f t="shared" si="6"/>
        <v>94012</v>
      </c>
      <c r="Z42" s="1127">
        <f>Z22</f>
        <v>2048</v>
      </c>
      <c r="AA42" s="1128">
        <f t="shared" si="6"/>
        <v>1395</v>
      </c>
      <c r="AB42" s="1127">
        <v>3370</v>
      </c>
      <c r="AC42" s="1129">
        <f t="shared" si="6"/>
        <v>2321</v>
      </c>
      <c r="AD42" s="1130">
        <f>AD32</f>
        <v>10460</v>
      </c>
      <c r="AE42" s="1129">
        <f t="shared" si="6"/>
        <v>7397</v>
      </c>
      <c r="AF42" s="1130">
        <f>AF32</f>
        <v>92483</v>
      </c>
      <c r="AG42" s="1129">
        <f t="shared" si="6"/>
        <v>66607</v>
      </c>
      <c r="AH42" s="1130">
        <f>AH22</f>
        <v>23146</v>
      </c>
      <c r="AI42" s="1129">
        <f t="shared" si="6"/>
        <v>16288</v>
      </c>
      <c r="AJ42" s="1130">
        <v>11191</v>
      </c>
      <c r="AK42" s="1129">
        <f t="shared" si="6"/>
        <v>8212</v>
      </c>
      <c r="AL42" s="1130"/>
      <c r="AM42" s="1131">
        <f t="shared" si="6"/>
        <v>0</v>
      </c>
      <c r="AN42" s="1132">
        <v>38892</v>
      </c>
      <c r="AO42" s="1129">
        <f t="shared" si="6"/>
        <v>36269</v>
      </c>
      <c r="AP42" s="1130">
        <f>AP32</f>
        <v>12758</v>
      </c>
      <c r="AQ42" s="1129">
        <f t="shared" si="6"/>
        <v>8883</v>
      </c>
      <c r="AR42" s="1130">
        <v>2474</v>
      </c>
      <c r="AS42" s="1128">
        <f t="shared" si="6"/>
        <v>1690</v>
      </c>
      <c r="AT42" s="1127">
        <f>AT19</f>
        <v>52929</v>
      </c>
      <c r="AU42" s="1129">
        <f t="shared" si="6"/>
        <v>50630</v>
      </c>
      <c r="AV42" s="1137">
        <f>SUM(B42+D42+F42+H42+J42+L42+N42+P42+R42+T42+V42+X42+Z42+AB42+AD42+AF42+AH42+AJ42+AL42+AN42+AP42+AR42+AT42)</f>
        <v>675572</v>
      </c>
      <c r="AW42" s="1138">
        <f>SUM(C42+E42+G42+I42+K42+M42+O42+Q42+S42+U42+W42+Y42+AA42+AC42+AE42+AG42+AI42+AK42+AM42+AO42+AQ42+AS42+AU42)</f>
        <v>528740</v>
      </c>
      <c r="AX42" s="1127">
        <v>11556243</v>
      </c>
      <c r="AY42" s="1128">
        <v>10987563</v>
      </c>
      <c r="AZ42" s="1127">
        <f>AV42+AX42</f>
        <v>12231815</v>
      </c>
      <c r="BA42" s="1079">
        <f>AW42+AY42</f>
        <v>11516303</v>
      </c>
    </row>
  </sheetData>
  <mergeCells count="26">
    <mergeCell ref="AZ1:BA1"/>
    <mergeCell ref="AX1:AY1"/>
    <mergeCell ref="AV1:AW1"/>
    <mergeCell ref="AT1:AU1"/>
    <mergeCell ref="AR1:AS1"/>
    <mergeCell ref="AP1:AQ1"/>
    <mergeCell ref="AN1:AO1"/>
    <mergeCell ref="AL1:AM1"/>
    <mergeCell ref="AJ1:AK1"/>
    <mergeCell ref="AH1:AI1"/>
    <mergeCell ref="AF1:AG1"/>
    <mergeCell ref="AD1:AE1"/>
    <mergeCell ref="AB1:AC1"/>
    <mergeCell ref="Z1:AA1"/>
    <mergeCell ref="X1:Y1"/>
    <mergeCell ref="V1:W1"/>
    <mergeCell ref="T1:U1"/>
    <mergeCell ref="R1:S1"/>
    <mergeCell ref="H1:I1"/>
    <mergeCell ref="F1:G1"/>
    <mergeCell ref="D1:E1"/>
    <mergeCell ref="B1:C1"/>
    <mergeCell ref="J1:K1"/>
    <mergeCell ref="P1:Q1"/>
    <mergeCell ref="L1:M1"/>
    <mergeCell ref="N1:O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BA29"/>
  <sheetViews>
    <sheetView workbookViewId="0">
      <pane xSplit="1" topLeftCell="B1" activePane="topRight" state="frozen"/>
      <selection pane="topRight" activeCell="H14" sqref="H14"/>
    </sheetView>
  </sheetViews>
  <sheetFormatPr defaultRowHeight="12.75" x14ac:dyDescent="0.25"/>
  <cols>
    <col min="1" max="1" width="68" style="93" bestFit="1" customWidth="1"/>
    <col min="2" max="9" width="10.5703125" style="93" bestFit="1" customWidth="1"/>
    <col min="10" max="10" width="10.5703125" style="93" customWidth="1"/>
    <col min="11" max="24" width="10.5703125" style="93" bestFit="1" customWidth="1"/>
    <col min="25" max="25" width="10.5703125" style="93" customWidth="1"/>
    <col min="26" max="41" width="10.5703125" style="93" bestFit="1" customWidth="1"/>
    <col min="42" max="42" width="10.5703125" style="93" customWidth="1"/>
    <col min="43" max="44" width="10.5703125" style="93" bestFit="1" customWidth="1"/>
    <col min="45" max="45" width="10.5703125" style="93" customWidth="1"/>
    <col min="46" max="53" width="10.5703125" style="93" bestFit="1" customWidth="1"/>
    <col min="54" max="16384" width="9.140625" style="93"/>
  </cols>
  <sheetData>
    <row r="1" spans="1:53" ht="62.25" customHeight="1" thickBot="1" x14ac:dyDescent="0.35">
      <c r="A1" s="957" t="s">
        <v>433</v>
      </c>
      <c r="B1" s="1403" t="s">
        <v>158</v>
      </c>
      <c r="C1" s="1406"/>
      <c r="D1" s="1434" t="s">
        <v>159</v>
      </c>
      <c r="E1" s="1435"/>
      <c r="F1" s="1434" t="s">
        <v>160</v>
      </c>
      <c r="G1" s="1435"/>
      <c r="H1" s="1434" t="s">
        <v>161</v>
      </c>
      <c r="I1" s="1435"/>
      <c r="J1" s="1434" t="s">
        <v>162</v>
      </c>
      <c r="K1" s="1435"/>
      <c r="L1" s="1434" t="s">
        <v>163</v>
      </c>
      <c r="M1" s="1435"/>
      <c r="N1" s="1434" t="s">
        <v>312</v>
      </c>
      <c r="O1" s="1435"/>
      <c r="P1" s="1434" t="s">
        <v>164</v>
      </c>
      <c r="Q1" s="1435"/>
      <c r="R1" s="1434" t="s">
        <v>165</v>
      </c>
      <c r="S1" s="1435"/>
      <c r="T1" s="1434" t="s">
        <v>166</v>
      </c>
      <c r="U1" s="1435"/>
      <c r="V1" s="1434" t="s">
        <v>167</v>
      </c>
      <c r="W1" s="1435"/>
      <c r="X1" s="1434" t="s">
        <v>168</v>
      </c>
      <c r="Y1" s="1435"/>
      <c r="Z1" s="1434" t="s">
        <v>381</v>
      </c>
      <c r="AA1" s="1435"/>
      <c r="AB1" s="1434" t="s">
        <v>169</v>
      </c>
      <c r="AC1" s="1435"/>
      <c r="AD1" s="1436" t="s">
        <v>170</v>
      </c>
      <c r="AE1" s="1437"/>
      <c r="AF1" s="1434" t="s">
        <v>171</v>
      </c>
      <c r="AG1" s="1435"/>
      <c r="AH1" s="1434" t="s">
        <v>172</v>
      </c>
      <c r="AI1" s="1435"/>
      <c r="AJ1" s="1434" t="s">
        <v>173</v>
      </c>
      <c r="AK1" s="1435"/>
      <c r="AL1" s="1436" t="s">
        <v>174</v>
      </c>
      <c r="AM1" s="1437"/>
      <c r="AN1" s="1434" t="s">
        <v>175</v>
      </c>
      <c r="AO1" s="1435"/>
      <c r="AP1" s="1434" t="s">
        <v>176</v>
      </c>
      <c r="AQ1" s="1435"/>
      <c r="AR1" s="1434" t="s">
        <v>177</v>
      </c>
      <c r="AS1" s="1435"/>
      <c r="AT1" s="1434" t="s">
        <v>178</v>
      </c>
      <c r="AU1" s="1435"/>
      <c r="AV1" s="1440" t="s">
        <v>1</v>
      </c>
      <c r="AW1" s="1441"/>
      <c r="AX1" s="1436" t="s">
        <v>179</v>
      </c>
      <c r="AY1" s="1437"/>
      <c r="AZ1" s="1438" t="s">
        <v>2</v>
      </c>
      <c r="BA1" s="1439"/>
    </row>
    <row r="2" spans="1:53" s="1004" customFormat="1" ht="30.75" customHeight="1" thickBot="1" x14ac:dyDescent="0.3">
      <c r="A2" s="1003" t="s">
        <v>0</v>
      </c>
      <c r="B2" s="992" t="s">
        <v>440</v>
      </c>
      <c r="C2" s="991" t="s">
        <v>427</v>
      </c>
      <c r="D2" s="992" t="s">
        <v>440</v>
      </c>
      <c r="E2" s="991" t="s">
        <v>427</v>
      </c>
      <c r="F2" s="992" t="s">
        <v>440</v>
      </c>
      <c r="G2" s="991" t="s">
        <v>427</v>
      </c>
      <c r="H2" s="992" t="s">
        <v>440</v>
      </c>
      <c r="I2" s="991" t="s">
        <v>427</v>
      </c>
      <c r="J2" s="992" t="s">
        <v>440</v>
      </c>
      <c r="K2" s="991" t="s">
        <v>427</v>
      </c>
      <c r="L2" s="992" t="s">
        <v>440</v>
      </c>
      <c r="M2" s="991" t="s">
        <v>427</v>
      </c>
      <c r="N2" s="992" t="s">
        <v>440</v>
      </c>
      <c r="O2" s="991" t="s">
        <v>427</v>
      </c>
      <c r="P2" s="992" t="s">
        <v>440</v>
      </c>
      <c r="Q2" s="991" t="s">
        <v>427</v>
      </c>
      <c r="R2" s="992" t="s">
        <v>440</v>
      </c>
      <c r="S2" s="991" t="s">
        <v>427</v>
      </c>
      <c r="T2" s="992" t="s">
        <v>440</v>
      </c>
      <c r="U2" s="991" t="s">
        <v>427</v>
      </c>
      <c r="V2" s="992" t="s">
        <v>440</v>
      </c>
      <c r="W2" s="991" t="s">
        <v>427</v>
      </c>
      <c r="X2" s="992" t="s">
        <v>440</v>
      </c>
      <c r="Y2" s="991" t="s">
        <v>427</v>
      </c>
      <c r="Z2" s="992" t="s">
        <v>440</v>
      </c>
      <c r="AA2" s="991" t="s">
        <v>427</v>
      </c>
      <c r="AB2" s="992" t="s">
        <v>440</v>
      </c>
      <c r="AC2" s="991" t="s">
        <v>427</v>
      </c>
      <c r="AD2" s="992" t="s">
        <v>440</v>
      </c>
      <c r="AE2" s="991" t="s">
        <v>427</v>
      </c>
      <c r="AF2" s="992" t="s">
        <v>440</v>
      </c>
      <c r="AG2" s="991" t="s">
        <v>427</v>
      </c>
      <c r="AH2" s="992" t="s">
        <v>440</v>
      </c>
      <c r="AI2" s="991" t="s">
        <v>427</v>
      </c>
      <c r="AJ2" s="992" t="s">
        <v>440</v>
      </c>
      <c r="AK2" s="991" t="s">
        <v>427</v>
      </c>
      <c r="AL2" s="992" t="s">
        <v>440</v>
      </c>
      <c r="AM2" s="991" t="s">
        <v>427</v>
      </c>
      <c r="AN2" s="992" t="s">
        <v>440</v>
      </c>
      <c r="AO2" s="991" t="s">
        <v>427</v>
      </c>
      <c r="AP2" s="992" t="s">
        <v>440</v>
      </c>
      <c r="AQ2" s="991" t="s">
        <v>427</v>
      </c>
      <c r="AR2" s="992" t="s">
        <v>440</v>
      </c>
      <c r="AS2" s="991" t="s">
        <v>427</v>
      </c>
      <c r="AT2" s="992" t="s">
        <v>440</v>
      </c>
      <c r="AU2" s="991" t="s">
        <v>427</v>
      </c>
      <c r="AV2" s="992" t="s">
        <v>440</v>
      </c>
      <c r="AW2" s="991" t="s">
        <v>427</v>
      </c>
      <c r="AX2" s="992" t="s">
        <v>440</v>
      </c>
      <c r="AY2" s="991" t="s">
        <v>427</v>
      </c>
      <c r="AZ2" s="992" t="s">
        <v>440</v>
      </c>
      <c r="BA2" s="991" t="s">
        <v>427</v>
      </c>
    </row>
    <row r="3" spans="1:53" ht="14.25" x14ac:dyDescent="0.3">
      <c r="A3" s="396" t="s">
        <v>184</v>
      </c>
      <c r="B3" s="936">
        <v>10762</v>
      </c>
      <c r="C3" s="958">
        <v>7698</v>
      </c>
      <c r="D3" s="959">
        <v>57</v>
      </c>
      <c r="E3" s="354">
        <v>51</v>
      </c>
      <c r="F3" s="513">
        <v>1059</v>
      </c>
      <c r="G3" s="354">
        <v>1137</v>
      </c>
      <c r="H3" s="513">
        <v>11360</v>
      </c>
      <c r="I3" s="354">
        <v>7403</v>
      </c>
      <c r="J3" s="513">
        <v>3570</v>
      </c>
      <c r="K3" s="354">
        <v>2878</v>
      </c>
      <c r="L3" s="513">
        <v>5305</v>
      </c>
      <c r="M3" s="354">
        <v>3013</v>
      </c>
      <c r="N3" s="513">
        <v>852</v>
      </c>
      <c r="O3" s="354">
        <v>755</v>
      </c>
      <c r="P3" s="513">
        <v>4388</v>
      </c>
      <c r="Q3" s="354">
        <v>3384</v>
      </c>
      <c r="R3" s="513"/>
      <c r="S3" s="354">
        <v>4366</v>
      </c>
      <c r="T3" s="513">
        <v>4173</v>
      </c>
      <c r="U3" s="354">
        <v>3932</v>
      </c>
      <c r="V3" s="513">
        <v>19878</v>
      </c>
      <c r="W3" s="354">
        <v>10845</v>
      </c>
      <c r="X3" s="513">
        <v>14181</v>
      </c>
      <c r="Y3" s="354">
        <v>12195</v>
      </c>
      <c r="Z3" s="513">
        <v>188</v>
      </c>
      <c r="AA3" s="354">
        <v>187</v>
      </c>
      <c r="AB3" s="513">
        <v>115</v>
      </c>
      <c r="AC3" s="354">
        <v>342.34</v>
      </c>
      <c r="AD3" s="513">
        <v>10063</v>
      </c>
      <c r="AE3" s="354">
        <v>12195</v>
      </c>
      <c r="AF3" s="513">
        <v>13394</v>
      </c>
      <c r="AG3" s="354">
        <v>7260</v>
      </c>
      <c r="AH3" s="513">
        <v>5143</v>
      </c>
      <c r="AI3" s="354">
        <v>4602</v>
      </c>
      <c r="AJ3" s="513">
        <v>6203</v>
      </c>
      <c r="AK3" s="354">
        <v>4748</v>
      </c>
      <c r="AL3" s="513"/>
      <c r="AM3" s="354"/>
      <c r="AN3" s="513">
        <v>9823</v>
      </c>
      <c r="AO3" s="354">
        <v>9945</v>
      </c>
      <c r="AP3" s="513">
        <v>3948</v>
      </c>
      <c r="AQ3" s="354">
        <v>3463</v>
      </c>
      <c r="AR3" s="513">
        <v>964</v>
      </c>
      <c r="AS3" s="354">
        <v>1073</v>
      </c>
      <c r="AT3" s="513">
        <v>19102</v>
      </c>
      <c r="AU3" s="354">
        <v>14014</v>
      </c>
      <c r="AV3" s="961">
        <f>SUM(B3+D3+F3+H3+J3+L3+N3+P3+R3+T3+V3+X3+Z3+AB3+AD3+AF3+AH3+AJ3+AL3+AN3+AP3+AR3+AT3)</f>
        <v>144528</v>
      </c>
      <c r="AW3" s="960">
        <f>SUM(C3+E3+G3+I3+K3+M3+O3+Q3+S3+U3+W3+Y3+AA3+AC3+AE3+AG3+AI3+AK3+AM3+AO3+AQ3+AS3+AU3)</f>
        <v>115486.34</v>
      </c>
      <c r="AX3" s="961">
        <v>387521</v>
      </c>
      <c r="AY3" s="918">
        <v>393601</v>
      </c>
      <c r="AZ3" s="923">
        <f>AV3+AX3</f>
        <v>532049</v>
      </c>
      <c r="BA3" s="960">
        <f>AW3+AY3</f>
        <v>509087.33999999997</v>
      </c>
    </row>
    <row r="4" spans="1:53" ht="14.25" x14ac:dyDescent="0.3">
      <c r="A4" s="395" t="s">
        <v>185</v>
      </c>
      <c r="B4" s="854"/>
      <c r="C4" s="92"/>
      <c r="D4" s="356"/>
      <c r="E4" s="92"/>
      <c r="F4" s="356"/>
      <c r="G4" s="92"/>
      <c r="H4" s="356"/>
      <c r="I4" s="92"/>
      <c r="J4" s="356"/>
      <c r="K4" s="92"/>
      <c r="L4" s="356"/>
      <c r="M4" s="92"/>
      <c r="N4" s="356"/>
      <c r="O4" s="92"/>
      <c r="P4" s="356"/>
      <c r="Q4" s="92"/>
      <c r="R4" s="356"/>
      <c r="S4" s="92"/>
      <c r="T4" s="356"/>
      <c r="U4" s="92"/>
      <c r="V4" s="356"/>
      <c r="W4" s="92"/>
      <c r="X4" s="356"/>
      <c r="Y4" s="92"/>
      <c r="Z4" s="356"/>
      <c r="AA4" s="92"/>
      <c r="AB4" s="356"/>
      <c r="AC4" s="92"/>
      <c r="AD4" s="356"/>
      <c r="AE4" s="92"/>
      <c r="AF4" s="356"/>
      <c r="AG4" s="92"/>
      <c r="AH4" s="356"/>
      <c r="AI4" s="92"/>
      <c r="AJ4" s="356"/>
      <c r="AK4" s="92"/>
      <c r="AL4" s="356"/>
      <c r="AM4" s="92"/>
      <c r="AN4" s="356"/>
      <c r="AO4" s="92"/>
      <c r="AP4" s="356"/>
      <c r="AQ4" s="92"/>
      <c r="AR4" s="356"/>
      <c r="AS4" s="92"/>
      <c r="AT4" s="356"/>
      <c r="AU4" s="92"/>
      <c r="AV4" s="961">
        <f t="shared" ref="AV4:AV29" si="0">SUM(B4+D4+F4+H4+J4+L4+N4+P4+R4+T4+V4+X4+Z4+AB4+AD4+AF4+AH4+AJ4+AL4+AN4+AP4+AR4+AT4)</f>
        <v>0</v>
      </c>
      <c r="AW4" s="960">
        <f t="shared" ref="AW4:AW29" si="1">SUM(C4+E4+G4+I4+K4+M4+O4+Q4+S4+U4+W4+Y4+AA4+AC4+AE4+AG4+AI4+AK4+AM4+AO4+AQ4+AS4+AU4)</f>
        <v>0</v>
      </c>
      <c r="AX4" s="940"/>
      <c r="AY4" s="919"/>
      <c r="AZ4" s="921">
        <f t="shared" ref="AZ4:AZ29" si="2">AV4+AX4</f>
        <v>0</v>
      </c>
      <c r="BA4" s="939">
        <f t="shared" ref="BA4:BA29" si="3">AW4+AY4</f>
        <v>0</v>
      </c>
    </row>
    <row r="5" spans="1:53" ht="14.25" x14ac:dyDescent="0.3">
      <c r="A5" s="395" t="s">
        <v>186</v>
      </c>
      <c r="B5" s="854"/>
      <c r="C5" s="92"/>
      <c r="D5" s="356"/>
      <c r="E5" s="92"/>
      <c r="F5" s="356"/>
      <c r="G5" s="92"/>
      <c r="H5" s="356"/>
      <c r="I5" s="92"/>
      <c r="J5" s="356"/>
      <c r="K5" s="92"/>
      <c r="L5" s="356"/>
      <c r="M5" s="92"/>
      <c r="N5" s="356"/>
      <c r="O5" s="92"/>
      <c r="P5" s="356"/>
      <c r="Q5" s="92"/>
      <c r="R5" s="356"/>
      <c r="S5" s="92"/>
      <c r="T5" s="356"/>
      <c r="U5" s="92"/>
      <c r="V5" s="356"/>
      <c r="W5" s="92"/>
      <c r="X5" s="356"/>
      <c r="Y5" s="92"/>
      <c r="Z5" s="356"/>
      <c r="AA5" s="92"/>
      <c r="AB5" s="356"/>
      <c r="AC5" s="92"/>
      <c r="AD5" s="356"/>
      <c r="AE5" s="92"/>
      <c r="AF5" s="356"/>
      <c r="AG5" s="92"/>
      <c r="AH5" s="356"/>
      <c r="AI5" s="92"/>
      <c r="AJ5" s="356"/>
      <c r="AK5" s="92"/>
      <c r="AL5" s="356"/>
      <c r="AM5" s="92"/>
      <c r="AN5" s="356"/>
      <c r="AO5" s="92"/>
      <c r="AP5" s="356"/>
      <c r="AQ5" s="92"/>
      <c r="AR5" s="356"/>
      <c r="AS5" s="92"/>
      <c r="AT5" s="356"/>
      <c r="AU5" s="92"/>
      <c r="AV5" s="961">
        <f t="shared" si="0"/>
        <v>0</v>
      </c>
      <c r="AW5" s="960">
        <f t="shared" si="1"/>
        <v>0</v>
      </c>
      <c r="AX5" s="940"/>
      <c r="AY5" s="919"/>
      <c r="AZ5" s="921">
        <f t="shared" si="2"/>
        <v>0</v>
      </c>
      <c r="BA5" s="939">
        <f t="shared" si="3"/>
        <v>0</v>
      </c>
    </row>
    <row r="6" spans="1:53" ht="14.25" x14ac:dyDescent="0.3">
      <c r="A6" s="395" t="s">
        <v>187</v>
      </c>
      <c r="B6" s="854">
        <v>45961</v>
      </c>
      <c r="C6" s="73">
        <v>39684</v>
      </c>
      <c r="D6" s="72"/>
      <c r="E6" s="92"/>
      <c r="F6" s="356">
        <v>1829</v>
      </c>
      <c r="G6" s="92">
        <v>3342</v>
      </c>
      <c r="H6" s="356"/>
      <c r="I6" s="92"/>
      <c r="J6" s="356">
        <v>2158</v>
      </c>
      <c r="K6" s="92">
        <v>1475</v>
      </c>
      <c r="L6" s="356"/>
      <c r="M6" s="92"/>
      <c r="N6" s="356"/>
      <c r="O6" s="92"/>
      <c r="P6" s="356">
        <v>7</v>
      </c>
      <c r="Q6" s="92">
        <v>7</v>
      </c>
      <c r="R6" s="356"/>
      <c r="S6" s="92">
        <v>9610</v>
      </c>
      <c r="T6" s="356">
        <v>111</v>
      </c>
      <c r="U6" s="92"/>
      <c r="V6" s="356">
        <v>5800</v>
      </c>
      <c r="W6" s="92"/>
      <c r="X6" s="356"/>
      <c r="Y6" s="92"/>
      <c r="Z6" s="356"/>
      <c r="AA6" s="92"/>
      <c r="AB6" s="356"/>
      <c r="AC6" s="92"/>
      <c r="AD6" s="356">
        <v>24</v>
      </c>
      <c r="AE6" s="92">
        <v>23</v>
      </c>
      <c r="AF6" s="356"/>
      <c r="AG6" s="92"/>
      <c r="AH6" s="356">
        <v>5606</v>
      </c>
      <c r="AI6" s="92">
        <v>2991</v>
      </c>
      <c r="AJ6" s="356">
        <v>13</v>
      </c>
      <c r="AK6" s="92">
        <v>12</v>
      </c>
      <c r="AL6" s="356"/>
      <c r="AM6" s="92"/>
      <c r="AN6" s="356">
        <v>4700</v>
      </c>
      <c r="AO6" s="92">
        <v>4700</v>
      </c>
      <c r="AP6" s="356">
        <v>2000</v>
      </c>
      <c r="AQ6" s="92"/>
      <c r="AR6" s="356"/>
      <c r="AS6" s="92"/>
      <c r="AT6" s="356">
        <v>92</v>
      </c>
      <c r="AU6" s="92">
        <v>87</v>
      </c>
      <c r="AV6" s="961">
        <f t="shared" si="0"/>
        <v>68301</v>
      </c>
      <c r="AW6" s="960">
        <f t="shared" si="1"/>
        <v>61931</v>
      </c>
      <c r="AX6" s="940">
        <v>32032</v>
      </c>
      <c r="AY6" s="919">
        <v>63395</v>
      </c>
      <c r="AZ6" s="921">
        <f t="shared" si="2"/>
        <v>100333</v>
      </c>
      <c r="BA6" s="939">
        <f t="shared" si="3"/>
        <v>125326</v>
      </c>
    </row>
    <row r="7" spans="1:53" ht="14.25" x14ac:dyDescent="0.3">
      <c r="A7" s="395" t="s">
        <v>188</v>
      </c>
      <c r="B7" s="854">
        <v>25</v>
      </c>
      <c r="C7" s="73">
        <v>25</v>
      </c>
      <c r="D7" s="72"/>
      <c r="E7" s="92"/>
      <c r="F7" s="356">
        <v>325</v>
      </c>
      <c r="G7" s="92">
        <v>425</v>
      </c>
      <c r="H7" s="356"/>
      <c r="I7" s="92"/>
      <c r="J7" s="356"/>
      <c r="K7" s="92">
        <v>50</v>
      </c>
      <c r="L7" s="356"/>
      <c r="M7" s="92"/>
      <c r="N7" s="356">
        <v>26</v>
      </c>
      <c r="O7" s="92">
        <v>26</v>
      </c>
      <c r="P7" s="356">
        <v>1</v>
      </c>
      <c r="Q7" s="92">
        <v>1</v>
      </c>
      <c r="R7" s="356"/>
      <c r="S7" s="92">
        <v>25</v>
      </c>
      <c r="T7" s="356"/>
      <c r="U7" s="92"/>
      <c r="V7" s="356">
        <v>63</v>
      </c>
      <c r="W7" s="92">
        <v>38</v>
      </c>
      <c r="X7" s="356"/>
      <c r="Y7" s="92"/>
      <c r="Z7" s="356"/>
      <c r="AA7" s="92"/>
      <c r="AB7" s="356"/>
      <c r="AC7" s="92"/>
      <c r="AD7" s="356"/>
      <c r="AE7" s="92"/>
      <c r="AF7" s="356"/>
      <c r="AG7" s="92"/>
      <c r="AH7" s="356">
        <v>29</v>
      </c>
      <c r="AI7" s="92">
        <v>53</v>
      </c>
      <c r="AJ7" s="356">
        <v>1525</v>
      </c>
      <c r="AK7" s="92">
        <v>1627</v>
      </c>
      <c r="AL7" s="356"/>
      <c r="AM7" s="92"/>
      <c r="AN7" s="356">
        <v>256901</v>
      </c>
      <c r="AO7" s="92">
        <v>216761</v>
      </c>
      <c r="AP7" s="356">
        <v>25</v>
      </c>
      <c r="AQ7" s="92">
        <v>25</v>
      </c>
      <c r="AR7" s="356">
        <v>85</v>
      </c>
      <c r="AS7" s="92"/>
      <c r="AT7" s="356">
        <v>121</v>
      </c>
      <c r="AU7" s="92">
        <v>44</v>
      </c>
      <c r="AV7" s="961">
        <f t="shared" si="0"/>
        <v>259126</v>
      </c>
      <c r="AW7" s="960">
        <f t="shared" si="1"/>
        <v>219100</v>
      </c>
      <c r="AX7" s="940">
        <v>101569</v>
      </c>
      <c r="AY7" s="919">
        <v>104418</v>
      </c>
      <c r="AZ7" s="921">
        <f t="shared" si="2"/>
        <v>360695</v>
      </c>
      <c r="BA7" s="939">
        <f t="shared" si="3"/>
        <v>323518</v>
      </c>
    </row>
    <row r="8" spans="1:53" ht="14.25" x14ac:dyDescent="0.3">
      <c r="A8" s="395" t="s">
        <v>189</v>
      </c>
      <c r="B8" s="854">
        <v>39008</v>
      </c>
      <c r="C8" s="73">
        <v>23087</v>
      </c>
      <c r="D8" s="72">
        <v>9251</v>
      </c>
      <c r="E8" s="92">
        <v>2872</v>
      </c>
      <c r="F8" s="356">
        <v>2040</v>
      </c>
      <c r="G8" s="92">
        <v>1709</v>
      </c>
      <c r="H8" s="356">
        <v>30029</v>
      </c>
      <c r="I8" s="92">
        <v>22738</v>
      </c>
      <c r="J8" s="356">
        <v>7716</v>
      </c>
      <c r="K8" s="92">
        <v>14131</v>
      </c>
      <c r="L8" s="356">
        <v>33358</v>
      </c>
      <c r="M8" s="92">
        <v>31013</v>
      </c>
      <c r="N8" s="356">
        <v>5181</v>
      </c>
      <c r="O8" s="92">
        <v>4237</v>
      </c>
      <c r="P8" s="356">
        <v>8275</v>
      </c>
      <c r="Q8" s="92">
        <v>6946</v>
      </c>
      <c r="R8" s="356"/>
      <c r="S8" s="92">
        <v>12127</v>
      </c>
      <c r="T8" s="356">
        <v>13998</v>
      </c>
      <c r="U8" s="92">
        <v>9771</v>
      </c>
      <c r="V8" s="356">
        <v>87897</v>
      </c>
      <c r="W8" s="92">
        <v>97747</v>
      </c>
      <c r="X8" s="356">
        <v>63265</v>
      </c>
      <c r="Y8" s="92">
        <v>54823</v>
      </c>
      <c r="Z8" s="356">
        <v>11074</v>
      </c>
      <c r="AA8" s="92">
        <v>17112</v>
      </c>
      <c r="AB8" s="356">
        <v>27811</v>
      </c>
      <c r="AC8" s="92">
        <v>25254.67</v>
      </c>
      <c r="AD8" s="356">
        <v>28990</v>
      </c>
      <c r="AE8" s="92">
        <v>45750</v>
      </c>
      <c r="AF8" s="356">
        <v>88790</v>
      </c>
      <c r="AG8" s="92">
        <v>58909</v>
      </c>
      <c r="AH8" s="356">
        <v>6104</v>
      </c>
      <c r="AI8" s="92">
        <v>8686</v>
      </c>
      <c r="AJ8" s="356">
        <v>14855</v>
      </c>
      <c r="AK8" s="92">
        <v>14285</v>
      </c>
      <c r="AL8" s="356"/>
      <c r="AM8" s="92"/>
      <c r="AN8" s="356">
        <v>144600</v>
      </c>
      <c r="AO8" s="92">
        <v>88543</v>
      </c>
      <c r="AP8" s="356">
        <v>13457</v>
      </c>
      <c r="AQ8" s="92">
        <v>14339</v>
      </c>
      <c r="AR8" s="356">
        <v>30322</v>
      </c>
      <c r="AS8" s="92">
        <v>13135</v>
      </c>
      <c r="AT8" s="356">
        <v>58591</v>
      </c>
      <c r="AU8" s="92">
        <v>25723</v>
      </c>
      <c r="AV8" s="961">
        <f t="shared" si="0"/>
        <v>724612</v>
      </c>
      <c r="AW8" s="960">
        <f t="shared" si="1"/>
        <v>592937.66999999993</v>
      </c>
      <c r="AX8" s="940">
        <v>1852081</v>
      </c>
      <c r="AY8" s="919">
        <v>1980160</v>
      </c>
      <c r="AZ8" s="921">
        <f t="shared" si="2"/>
        <v>2576693</v>
      </c>
      <c r="BA8" s="939">
        <f t="shared" si="3"/>
        <v>2573097.67</v>
      </c>
    </row>
    <row r="9" spans="1:53" ht="14.25" x14ac:dyDescent="0.3">
      <c r="A9" s="395" t="s">
        <v>190</v>
      </c>
      <c r="B9" s="854"/>
      <c r="C9" s="73"/>
      <c r="D9" s="72"/>
      <c r="E9" s="92"/>
      <c r="F9" s="356"/>
      <c r="G9" s="73"/>
      <c r="H9" s="72"/>
      <c r="I9" s="92"/>
      <c r="J9" s="356"/>
      <c r="K9" s="92"/>
      <c r="L9" s="356"/>
      <c r="M9" s="92"/>
      <c r="N9" s="356"/>
      <c r="O9" s="92"/>
      <c r="P9" s="356"/>
      <c r="Q9" s="92"/>
      <c r="R9" s="356"/>
      <c r="S9" s="92"/>
      <c r="T9" s="356"/>
      <c r="U9" s="92"/>
      <c r="V9" s="356"/>
      <c r="W9" s="92"/>
      <c r="X9" s="356">
        <v>76</v>
      </c>
      <c r="Y9" s="92"/>
      <c r="Z9" s="356"/>
      <c r="AA9" s="92"/>
      <c r="AB9" s="356"/>
      <c r="AC9" s="92"/>
      <c r="AD9" s="356"/>
      <c r="AE9" s="92"/>
      <c r="AF9" s="356"/>
      <c r="AG9" s="92"/>
      <c r="AH9" s="356"/>
      <c r="AI9" s="92"/>
      <c r="AJ9" s="356"/>
      <c r="AK9" s="92"/>
      <c r="AL9" s="356"/>
      <c r="AM9" s="92"/>
      <c r="AN9" s="356">
        <v>457</v>
      </c>
      <c r="AO9" s="92">
        <v>462</v>
      </c>
      <c r="AP9" s="356"/>
      <c r="AQ9" s="92"/>
      <c r="AR9" s="356"/>
      <c r="AS9" s="92"/>
      <c r="AT9" s="356"/>
      <c r="AU9" s="92"/>
      <c r="AV9" s="961">
        <f t="shared" si="0"/>
        <v>533</v>
      </c>
      <c r="AW9" s="960">
        <f t="shared" si="1"/>
        <v>462</v>
      </c>
      <c r="AX9" s="940"/>
      <c r="AY9" s="919"/>
      <c r="AZ9" s="921">
        <f t="shared" si="2"/>
        <v>533</v>
      </c>
      <c r="BA9" s="939">
        <f t="shared" si="3"/>
        <v>462</v>
      </c>
    </row>
    <row r="10" spans="1:53" ht="14.25" x14ac:dyDescent="0.3">
      <c r="A10" s="395" t="s">
        <v>191</v>
      </c>
      <c r="B10" s="854"/>
      <c r="C10" s="702"/>
      <c r="D10" s="948"/>
      <c r="E10" s="92"/>
      <c r="F10" s="356"/>
      <c r="G10" s="704"/>
      <c r="H10" s="947"/>
      <c r="I10" s="92"/>
      <c r="J10" s="356"/>
      <c r="K10" s="92"/>
      <c r="L10" s="356"/>
      <c r="M10" s="92"/>
      <c r="N10" s="356"/>
      <c r="O10" s="92"/>
      <c r="P10" s="356"/>
      <c r="Q10" s="92"/>
      <c r="R10" s="356"/>
      <c r="S10" s="92"/>
      <c r="T10" s="356"/>
      <c r="U10" s="92"/>
      <c r="V10" s="356"/>
      <c r="W10" s="92"/>
      <c r="X10" s="356"/>
      <c r="Y10" s="92">
        <v>75</v>
      </c>
      <c r="Z10" s="356"/>
      <c r="AA10" s="92"/>
      <c r="AB10" s="356"/>
      <c r="AC10" s="92"/>
      <c r="AD10" s="356"/>
      <c r="AE10" s="92"/>
      <c r="AF10" s="356"/>
      <c r="AG10" s="92"/>
      <c r="AH10" s="356"/>
      <c r="AI10" s="92"/>
      <c r="AJ10" s="356"/>
      <c r="AK10" s="92"/>
      <c r="AL10" s="356"/>
      <c r="AM10" s="92"/>
      <c r="AN10" s="356">
        <v>12</v>
      </c>
      <c r="AO10" s="92">
        <v>10</v>
      </c>
      <c r="AP10" s="356"/>
      <c r="AQ10" s="92"/>
      <c r="AR10" s="356"/>
      <c r="AS10" s="92"/>
      <c r="AT10" s="356"/>
      <c r="AU10" s="92"/>
      <c r="AV10" s="961">
        <f t="shared" si="0"/>
        <v>12</v>
      </c>
      <c r="AW10" s="960">
        <f t="shared" si="1"/>
        <v>85</v>
      </c>
      <c r="AX10" s="940"/>
      <c r="AY10" s="919"/>
      <c r="AZ10" s="921">
        <f t="shared" si="2"/>
        <v>12</v>
      </c>
      <c r="BA10" s="939">
        <f t="shared" si="3"/>
        <v>85</v>
      </c>
    </row>
    <row r="11" spans="1:53" ht="14.25" x14ac:dyDescent="0.3">
      <c r="A11" s="395" t="s">
        <v>192</v>
      </c>
      <c r="B11" s="854"/>
      <c r="C11" s="92"/>
      <c r="D11" s="356"/>
      <c r="E11" s="92"/>
      <c r="F11" s="356"/>
      <c r="G11" s="92"/>
      <c r="H11" s="356"/>
      <c r="I11" s="92"/>
      <c r="J11" s="356"/>
      <c r="K11" s="92"/>
      <c r="L11" s="356"/>
      <c r="M11" s="92"/>
      <c r="N11" s="356"/>
      <c r="O11" s="92"/>
      <c r="P11" s="356"/>
      <c r="Q11" s="92"/>
      <c r="R11" s="356"/>
      <c r="S11" s="92"/>
      <c r="T11" s="356"/>
      <c r="U11" s="92"/>
      <c r="V11" s="356"/>
      <c r="W11" s="92"/>
      <c r="X11" s="356"/>
      <c r="Y11" s="92"/>
      <c r="Z11" s="356"/>
      <c r="AA11" s="92"/>
      <c r="AB11" s="356"/>
      <c r="AC11" s="92"/>
      <c r="AD11" s="356"/>
      <c r="AE11" s="92"/>
      <c r="AF11" s="356"/>
      <c r="AG11" s="92"/>
      <c r="AH11" s="356"/>
      <c r="AI11" s="92"/>
      <c r="AJ11" s="356"/>
      <c r="AK11" s="92"/>
      <c r="AL11" s="356"/>
      <c r="AM11" s="92"/>
      <c r="AN11" s="356"/>
      <c r="AO11" s="92"/>
      <c r="AP11" s="356"/>
      <c r="AQ11" s="92"/>
      <c r="AR11" s="356"/>
      <c r="AS11" s="92"/>
      <c r="AT11" s="356"/>
      <c r="AU11" s="92"/>
      <c r="AV11" s="961">
        <f t="shared" si="0"/>
        <v>0</v>
      </c>
      <c r="AW11" s="960">
        <f t="shared" si="1"/>
        <v>0</v>
      </c>
      <c r="AX11" s="940"/>
      <c r="AY11" s="919"/>
      <c r="AZ11" s="921">
        <f t="shared" si="2"/>
        <v>0</v>
      </c>
      <c r="BA11" s="939">
        <f t="shared" si="3"/>
        <v>0</v>
      </c>
    </row>
    <row r="12" spans="1:53" ht="14.25" x14ac:dyDescent="0.3">
      <c r="A12" s="395" t="s">
        <v>193</v>
      </c>
      <c r="B12" s="854"/>
      <c r="C12" s="704"/>
      <c r="D12" s="947"/>
      <c r="E12" s="92"/>
      <c r="F12" s="356"/>
      <c r="G12" s="704"/>
      <c r="H12" s="947"/>
      <c r="I12" s="92"/>
      <c r="J12" s="356"/>
      <c r="K12" s="92"/>
      <c r="L12" s="356"/>
      <c r="M12" s="92"/>
      <c r="N12" s="356"/>
      <c r="O12" s="92"/>
      <c r="P12" s="356"/>
      <c r="Q12" s="92"/>
      <c r="R12" s="356"/>
      <c r="S12" s="92"/>
      <c r="T12" s="356"/>
      <c r="U12" s="92"/>
      <c r="V12" s="356"/>
      <c r="W12" s="92"/>
      <c r="X12" s="356"/>
      <c r="Y12" s="92"/>
      <c r="Z12" s="356"/>
      <c r="AA12" s="92"/>
      <c r="AB12" s="356"/>
      <c r="AC12" s="92"/>
      <c r="AD12" s="356"/>
      <c r="AE12" s="92"/>
      <c r="AF12" s="356"/>
      <c r="AG12" s="92"/>
      <c r="AH12" s="356"/>
      <c r="AI12" s="92"/>
      <c r="AJ12" s="356"/>
      <c r="AK12" s="92"/>
      <c r="AL12" s="356"/>
      <c r="AM12" s="92"/>
      <c r="AN12" s="356"/>
      <c r="AO12" s="92"/>
      <c r="AP12" s="356"/>
      <c r="AQ12" s="92"/>
      <c r="AR12" s="356"/>
      <c r="AS12" s="92"/>
      <c r="AT12" s="356"/>
      <c r="AU12" s="92"/>
      <c r="AV12" s="961">
        <f t="shared" si="0"/>
        <v>0</v>
      </c>
      <c r="AW12" s="960">
        <f t="shared" si="1"/>
        <v>0</v>
      </c>
      <c r="AX12" s="940"/>
      <c r="AY12" s="919"/>
      <c r="AZ12" s="921">
        <f t="shared" si="2"/>
        <v>0</v>
      </c>
      <c r="BA12" s="939">
        <f t="shared" si="3"/>
        <v>0</v>
      </c>
    </row>
    <row r="13" spans="1:53" ht="14.25" x14ac:dyDescent="0.3">
      <c r="A13" s="395" t="s">
        <v>194</v>
      </c>
      <c r="B13" s="854"/>
      <c r="C13" s="704"/>
      <c r="D13" s="947"/>
      <c r="E13" s="92"/>
      <c r="F13" s="356"/>
      <c r="G13" s="704"/>
      <c r="H13" s="947"/>
      <c r="I13" s="92"/>
      <c r="J13" s="356"/>
      <c r="K13" s="92"/>
      <c r="L13" s="356"/>
      <c r="M13" s="92"/>
      <c r="N13" s="356"/>
      <c r="O13" s="92"/>
      <c r="P13" s="356"/>
      <c r="Q13" s="92"/>
      <c r="R13" s="356"/>
      <c r="S13" s="92"/>
      <c r="T13" s="356"/>
      <c r="U13" s="92"/>
      <c r="V13" s="356"/>
      <c r="W13" s="92"/>
      <c r="X13" s="356"/>
      <c r="Y13" s="92"/>
      <c r="Z13" s="356"/>
      <c r="AA13" s="92"/>
      <c r="AB13" s="356"/>
      <c r="AC13" s="92"/>
      <c r="AD13" s="356"/>
      <c r="AE13" s="92"/>
      <c r="AF13" s="356"/>
      <c r="AG13" s="92"/>
      <c r="AH13" s="356"/>
      <c r="AI13" s="92"/>
      <c r="AJ13" s="356"/>
      <c r="AK13" s="92"/>
      <c r="AL13" s="356"/>
      <c r="AM13" s="92"/>
      <c r="AN13" s="356"/>
      <c r="AO13" s="92"/>
      <c r="AP13" s="356">
        <v>3007</v>
      </c>
      <c r="AQ13" s="92">
        <v>3900</v>
      </c>
      <c r="AR13" s="356"/>
      <c r="AS13" s="92"/>
      <c r="AT13" s="356"/>
      <c r="AU13" s="92"/>
      <c r="AV13" s="961">
        <f t="shared" si="0"/>
        <v>3007</v>
      </c>
      <c r="AW13" s="960">
        <f t="shared" si="1"/>
        <v>3900</v>
      </c>
      <c r="AX13" s="940">
        <v>0.01</v>
      </c>
      <c r="AY13" s="919">
        <v>0.01</v>
      </c>
      <c r="AZ13" s="921">
        <f t="shared" si="2"/>
        <v>3007.01</v>
      </c>
      <c r="BA13" s="939">
        <f t="shared" si="3"/>
        <v>3900.01</v>
      </c>
    </row>
    <row r="14" spans="1:53" ht="14.25" x14ac:dyDescent="0.3">
      <c r="A14" s="395" t="s">
        <v>413</v>
      </c>
      <c r="B14" s="854"/>
      <c r="C14" s="704"/>
      <c r="D14" s="947"/>
      <c r="E14" s="92"/>
      <c r="F14" s="356"/>
      <c r="G14" s="704"/>
      <c r="H14" s="947"/>
      <c r="I14" s="92"/>
      <c r="J14" s="356"/>
      <c r="K14" s="92"/>
      <c r="L14" s="356"/>
      <c r="M14" s="92"/>
      <c r="N14" s="356"/>
      <c r="O14" s="92"/>
      <c r="P14" s="356"/>
      <c r="Q14" s="92"/>
      <c r="R14" s="356"/>
      <c r="S14" s="92"/>
      <c r="T14" s="356"/>
      <c r="U14" s="92"/>
      <c r="V14" s="356"/>
      <c r="W14" s="92"/>
      <c r="X14" s="356"/>
      <c r="Y14" s="92"/>
      <c r="Z14" s="356"/>
      <c r="AA14" s="92"/>
      <c r="AB14" s="356"/>
      <c r="AC14" s="92"/>
      <c r="AD14" s="356"/>
      <c r="AE14" s="92"/>
      <c r="AF14" s="356"/>
      <c r="AG14" s="92"/>
      <c r="AH14" s="356"/>
      <c r="AI14" s="92"/>
      <c r="AJ14" s="356"/>
      <c r="AK14" s="92"/>
      <c r="AL14" s="356"/>
      <c r="AM14" s="92"/>
      <c r="AN14" s="356"/>
      <c r="AO14" s="92"/>
      <c r="AP14" s="356"/>
      <c r="AQ14" s="92"/>
      <c r="AR14" s="356"/>
      <c r="AS14" s="92"/>
      <c r="AT14" s="356"/>
      <c r="AU14" s="92"/>
      <c r="AV14" s="961"/>
      <c r="AW14" s="960"/>
      <c r="AX14" s="940"/>
      <c r="AY14" s="919"/>
      <c r="AZ14" s="921"/>
      <c r="BA14" s="939"/>
    </row>
    <row r="15" spans="1:53" ht="14.25" x14ac:dyDescent="0.3">
      <c r="A15" s="395" t="s">
        <v>414</v>
      </c>
      <c r="B15" s="854"/>
      <c r="C15" s="704"/>
      <c r="D15" s="947"/>
      <c r="E15" s="92"/>
      <c r="F15" s="356"/>
      <c r="G15" s="704"/>
      <c r="H15" s="947"/>
      <c r="I15" s="92"/>
      <c r="J15" s="356"/>
      <c r="K15" s="92"/>
      <c r="L15" s="356"/>
      <c r="M15" s="92"/>
      <c r="N15" s="356"/>
      <c r="O15" s="92"/>
      <c r="P15" s="356"/>
      <c r="Q15" s="92"/>
      <c r="R15" s="356"/>
      <c r="S15" s="92"/>
      <c r="T15" s="356"/>
      <c r="U15" s="92"/>
      <c r="V15" s="356"/>
      <c r="W15" s="92"/>
      <c r="X15" s="356"/>
      <c r="Y15" s="92"/>
      <c r="Z15" s="356"/>
      <c r="AA15" s="92"/>
      <c r="AB15" s="356"/>
      <c r="AC15" s="92"/>
      <c r="AD15" s="356"/>
      <c r="AE15" s="92"/>
      <c r="AF15" s="356"/>
      <c r="AG15" s="92"/>
      <c r="AH15" s="356"/>
      <c r="AI15" s="92"/>
      <c r="AJ15" s="356"/>
      <c r="AK15" s="92"/>
      <c r="AL15" s="356"/>
      <c r="AM15" s="92"/>
      <c r="AN15" s="356"/>
      <c r="AO15" s="92"/>
      <c r="AP15" s="356"/>
      <c r="AQ15" s="92"/>
      <c r="AR15" s="356"/>
      <c r="AS15" s="92"/>
      <c r="AT15" s="356"/>
      <c r="AU15" s="92"/>
      <c r="AV15" s="961"/>
      <c r="AW15" s="960"/>
      <c r="AX15" s="940">
        <v>1459628</v>
      </c>
      <c r="AY15" s="919">
        <v>1155947</v>
      </c>
      <c r="AZ15" s="921"/>
      <c r="BA15" s="939"/>
    </row>
    <row r="16" spans="1:53" ht="14.25" x14ac:dyDescent="0.3">
      <c r="A16" s="395" t="s">
        <v>73</v>
      </c>
      <c r="B16" s="854"/>
      <c r="C16" s="704"/>
      <c r="D16" s="947"/>
      <c r="E16" s="92"/>
      <c r="F16" s="356"/>
      <c r="G16" s="704"/>
      <c r="H16" s="947"/>
      <c r="I16" s="92"/>
      <c r="J16" s="356"/>
      <c r="K16" s="92"/>
      <c r="L16" s="356"/>
      <c r="M16" s="92"/>
      <c r="N16" s="356"/>
      <c r="O16" s="92"/>
      <c r="P16" s="356"/>
      <c r="Q16" s="92"/>
      <c r="R16" s="356"/>
      <c r="S16" s="92"/>
      <c r="T16" s="356"/>
      <c r="U16" s="92"/>
      <c r="V16" s="356">
        <v>27</v>
      </c>
      <c r="W16" s="92">
        <v>27</v>
      </c>
      <c r="X16" s="356"/>
      <c r="Y16" s="92"/>
      <c r="Z16" s="356"/>
      <c r="AA16" s="92"/>
      <c r="AB16" s="356"/>
      <c r="AC16" s="92"/>
      <c r="AD16" s="356"/>
      <c r="AE16" s="92"/>
      <c r="AF16" s="356"/>
      <c r="AG16" s="92"/>
      <c r="AH16" s="356"/>
      <c r="AI16" s="92"/>
      <c r="AJ16" s="356"/>
      <c r="AK16" s="92"/>
      <c r="AL16" s="356"/>
      <c r="AM16" s="92"/>
      <c r="AN16" s="356"/>
      <c r="AO16" s="92"/>
      <c r="AP16" s="356"/>
      <c r="AQ16" s="92"/>
      <c r="AR16" s="356"/>
      <c r="AS16" s="92"/>
      <c r="AT16" s="356"/>
      <c r="AU16" s="92"/>
      <c r="AV16" s="961">
        <f t="shared" si="0"/>
        <v>27</v>
      </c>
      <c r="AW16" s="960">
        <f t="shared" si="1"/>
        <v>27</v>
      </c>
      <c r="AX16" s="940">
        <v>2515</v>
      </c>
      <c r="AY16" s="919">
        <v>45689</v>
      </c>
      <c r="AZ16" s="921">
        <f t="shared" si="2"/>
        <v>2542</v>
      </c>
      <c r="BA16" s="939">
        <f t="shared" si="3"/>
        <v>45716</v>
      </c>
    </row>
    <row r="17" spans="1:53" s="1085" customFormat="1" ht="14.25" x14ac:dyDescent="0.3">
      <c r="A17" s="927" t="s">
        <v>195</v>
      </c>
      <c r="B17" s="929">
        <v>95756</v>
      </c>
      <c r="C17" s="1219">
        <f>SUM(C3:C16)</f>
        <v>70494</v>
      </c>
      <c r="D17" s="1220">
        <v>9209</v>
      </c>
      <c r="E17" s="1219">
        <f t="shared" ref="E17:O17" si="4">SUM(E3:E16)</f>
        <v>2923</v>
      </c>
      <c r="F17" s="1220">
        <v>5253</v>
      </c>
      <c r="G17" s="1219">
        <f t="shared" si="4"/>
        <v>6613</v>
      </c>
      <c r="H17" s="1220">
        <v>41389</v>
      </c>
      <c r="I17" s="1219">
        <f t="shared" si="4"/>
        <v>30141</v>
      </c>
      <c r="J17" s="1220">
        <v>13445</v>
      </c>
      <c r="K17" s="1219">
        <f t="shared" si="4"/>
        <v>18534</v>
      </c>
      <c r="L17" s="1220">
        <v>38663</v>
      </c>
      <c r="M17" s="1219">
        <f t="shared" si="4"/>
        <v>34026</v>
      </c>
      <c r="N17" s="1220">
        <v>6059</v>
      </c>
      <c r="O17" s="1219">
        <f t="shared" si="4"/>
        <v>5018</v>
      </c>
      <c r="P17" s="1220">
        <v>12671</v>
      </c>
      <c r="Q17" s="1219">
        <f t="shared" ref="Q17:AU17" si="5">SUM(Q3:Q16)</f>
        <v>10338</v>
      </c>
      <c r="R17" s="1220"/>
      <c r="S17" s="1219">
        <f t="shared" si="5"/>
        <v>26128</v>
      </c>
      <c r="T17" s="1220">
        <v>18283</v>
      </c>
      <c r="U17" s="1219">
        <f t="shared" si="5"/>
        <v>13703</v>
      </c>
      <c r="V17" s="1220">
        <v>113665</v>
      </c>
      <c r="W17" s="1219">
        <f t="shared" si="5"/>
        <v>108657</v>
      </c>
      <c r="X17" s="1220">
        <v>77522</v>
      </c>
      <c r="Y17" s="1219">
        <f t="shared" si="5"/>
        <v>67093</v>
      </c>
      <c r="Z17" s="1220">
        <v>11262</v>
      </c>
      <c r="AA17" s="1219">
        <f t="shared" si="5"/>
        <v>17299</v>
      </c>
      <c r="AB17" s="1220">
        <v>27926</v>
      </c>
      <c r="AC17" s="1219">
        <f t="shared" si="5"/>
        <v>25597.01</v>
      </c>
      <c r="AD17" s="1220">
        <v>39077</v>
      </c>
      <c r="AE17" s="1219">
        <f t="shared" si="5"/>
        <v>57968</v>
      </c>
      <c r="AF17" s="1220">
        <v>102184</v>
      </c>
      <c r="AG17" s="1219">
        <f t="shared" si="5"/>
        <v>66169</v>
      </c>
      <c r="AH17" s="1220">
        <v>16882</v>
      </c>
      <c r="AI17" s="1219">
        <f t="shared" si="5"/>
        <v>16332</v>
      </c>
      <c r="AJ17" s="1220">
        <v>22596</v>
      </c>
      <c r="AK17" s="1219">
        <f t="shared" si="5"/>
        <v>20672</v>
      </c>
      <c r="AL17" s="1220"/>
      <c r="AM17" s="1219">
        <f t="shared" si="5"/>
        <v>0</v>
      </c>
      <c r="AN17" s="1220">
        <f>AN23</f>
        <v>416492</v>
      </c>
      <c r="AO17" s="1219">
        <f t="shared" si="5"/>
        <v>320421</v>
      </c>
      <c r="AP17" s="1220">
        <v>22437</v>
      </c>
      <c r="AQ17" s="1219">
        <f t="shared" si="5"/>
        <v>21727</v>
      </c>
      <c r="AR17" s="1220">
        <v>31371</v>
      </c>
      <c r="AS17" s="1219">
        <f t="shared" si="5"/>
        <v>14208</v>
      </c>
      <c r="AT17" s="1220">
        <f>AT23</f>
        <v>77907</v>
      </c>
      <c r="AU17" s="1219">
        <f t="shared" si="5"/>
        <v>39868</v>
      </c>
      <c r="AV17" s="1221">
        <f t="shared" si="0"/>
        <v>1200049</v>
      </c>
      <c r="AW17" s="1222">
        <f t="shared" si="1"/>
        <v>993929.01</v>
      </c>
      <c r="AX17" s="1223">
        <v>3835346</v>
      </c>
      <c r="AY17" s="993">
        <v>3743214</v>
      </c>
      <c r="AZ17" s="1224">
        <f t="shared" si="2"/>
        <v>5035395</v>
      </c>
      <c r="BA17" s="1225">
        <f t="shared" si="3"/>
        <v>4737143.01</v>
      </c>
    </row>
    <row r="18" spans="1:53" ht="14.25" x14ac:dyDescent="0.3">
      <c r="A18" s="395" t="s">
        <v>196</v>
      </c>
      <c r="B18" s="854"/>
      <c r="C18" s="704"/>
      <c r="D18" s="947"/>
      <c r="E18" s="92"/>
      <c r="F18" s="356"/>
      <c r="G18" s="704"/>
      <c r="H18" s="947"/>
      <c r="I18" s="92"/>
      <c r="J18" s="356"/>
      <c r="K18" s="92"/>
      <c r="L18" s="356"/>
      <c r="M18" s="92"/>
      <c r="N18" s="356"/>
      <c r="O18" s="92"/>
      <c r="P18" s="356"/>
      <c r="Q18" s="92"/>
      <c r="R18" s="356"/>
      <c r="S18" s="92">
        <v>0</v>
      </c>
      <c r="T18" s="356"/>
      <c r="U18" s="92"/>
      <c r="V18" s="356"/>
      <c r="W18" s="92"/>
      <c r="X18" s="356"/>
      <c r="Y18" s="92"/>
      <c r="Z18" s="356"/>
      <c r="AA18" s="92"/>
      <c r="AB18" s="356">
        <v>59</v>
      </c>
      <c r="AC18" s="92">
        <v>53.98</v>
      </c>
      <c r="AD18" s="356"/>
      <c r="AE18" s="92"/>
      <c r="AF18" s="356"/>
      <c r="AG18" s="92"/>
      <c r="AH18" s="356"/>
      <c r="AI18" s="92"/>
      <c r="AJ18" s="356"/>
      <c r="AK18" s="92"/>
      <c r="AL18" s="356"/>
      <c r="AM18" s="92"/>
      <c r="AN18" s="356"/>
      <c r="AO18" s="92"/>
      <c r="AP18" s="356"/>
      <c r="AQ18" s="92"/>
      <c r="AR18" s="356"/>
      <c r="AS18" s="92"/>
      <c r="AT18" s="356"/>
      <c r="AU18" s="92"/>
      <c r="AV18" s="961">
        <f t="shared" si="0"/>
        <v>59</v>
      </c>
      <c r="AW18" s="960">
        <f t="shared" si="1"/>
        <v>53.98</v>
      </c>
      <c r="AX18" s="940"/>
      <c r="AY18" s="919"/>
      <c r="AZ18" s="921">
        <f t="shared" si="2"/>
        <v>59</v>
      </c>
      <c r="BA18" s="939">
        <f t="shared" si="3"/>
        <v>53.98</v>
      </c>
    </row>
    <row r="19" spans="1:53" ht="14.25" hidden="1" x14ac:dyDescent="0.3">
      <c r="A19" s="351"/>
      <c r="B19" s="941"/>
      <c r="C19" s="92"/>
      <c r="D19" s="356"/>
      <c r="E19" s="92"/>
      <c r="F19" s="356"/>
      <c r="G19" s="92"/>
      <c r="H19" s="356"/>
      <c r="I19" s="92"/>
      <c r="J19" s="356"/>
      <c r="K19" s="92"/>
      <c r="L19" s="356"/>
      <c r="M19" s="92"/>
      <c r="N19" s="356"/>
      <c r="O19" s="92"/>
      <c r="P19" s="356"/>
      <c r="Q19" s="92"/>
      <c r="R19" s="356"/>
      <c r="S19" s="92"/>
      <c r="T19" s="356"/>
      <c r="U19" s="92"/>
      <c r="V19" s="356"/>
      <c r="W19" s="92"/>
      <c r="X19" s="356"/>
      <c r="Y19" s="92"/>
      <c r="Z19" s="356"/>
      <c r="AA19" s="92"/>
      <c r="AB19" s="356"/>
      <c r="AC19" s="92"/>
      <c r="AD19" s="356"/>
      <c r="AE19" s="92"/>
      <c r="AF19" s="356"/>
      <c r="AG19" s="92"/>
      <c r="AH19" s="356"/>
      <c r="AI19" s="92"/>
      <c r="AJ19" s="356"/>
      <c r="AK19" s="92"/>
      <c r="AL19" s="356"/>
      <c r="AM19" s="92"/>
      <c r="AN19" s="356"/>
      <c r="AO19" s="92"/>
      <c r="AP19" s="356"/>
      <c r="AQ19" s="92"/>
      <c r="AR19" s="356"/>
      <c r="AS19" s="92"/>
      <c r="AT19" s="356"/>
      <c r="AU19" s="92"/>
      <c r="AV19" s="961">
        <f t="shared" si="0"/>
        <v>0</v>
      </c>
      <c r="AW19" s="960">
        <f t="shared" si="1"/>
        <v>0</v>
      </c>
      <c r="AX19" s="940"/>
      <c r="AY19" s="919"/>
      <c r="AZ19" s="921">
        <f t="shared" si="2"/>
        <v>0</v>
      </c>
      <c r="BA19" s="939">
        <f t="shared" si="3"/>
        <v>0</v>
      </c>
    </row>
    <row r="20" spans="1:53" ht="14.25" x14ac:dyDescent="0.3">
      <c r="A20" s="395" t="s">
        <v>151</v>
      </c>
      <c r="B20" s="854"/>
      <c r="C20" s="92"/>
      <c r="D20" s="356"/>
      <c r="E20" s="92"/>
      <c r="F20" s="356"/>
      <c r="G20" s="92"/>
      <c r="H20" s="356"/>
      <c r="I20" s="946"/>
      <c r="J20" s="945"/>
      <c r="K20" s="92"/>
      <c r="L20" s="356"/>
      <c r="M20" s="92"/>
      <c r="N20" s="356"/>
      <c r="O20" s="92"/>
      <c r="P20" s="356"/>
      <c r="Q20" s="92"/>
      <c r="R20" s="356"/>
      <c r="S20" s="92"/>
      <c r="T20" s="356"/>
      <c r="U20" s="92"/>
      <c r="V20" s="356"/>
      <c r="W20" s="92"/>
      <c r="X20" s="356"/>
      <c r="Y20" s="92"/>
      <c r="Z20" s="356"/>
      <c r="AA20" s="92"/>
      <c r="AB20" s="356"/>
      <c r="AC20" s="92"/>
      <c r="AD20" s="356"/>
      <c r="AE20" s="92"/>
      <c r="AF20" s="356"/>
      <c r="AG20" s="92"/>
      <c r="AH20" s="356"/>
      <c r="AI20" s="92"/>
      <c r="AJ20" s="356"/>
      <c r="AK20" s="92"/>
      <c r="AL20" s="356"/>
      <c r="AM20" s="92"/>
      <c r="AN20" s="356"/>
      <c r="AO20" s="92"/>
      <c r="AP20" s="356"/>
      <c r="AQ20" s="92"/>
      <c r="AR20" s="356"/>
      <c r="AS20" s="92"/>
      <c r="AT20" s="356"/>
      <c r="AU20" s="92"/>
      <c r="AV20" s="961">
        <f t="shared" si="0"/>
        <v>0</v>
      </c>
      <c r="AW20" s="960">
        <f t="shared" si="1"/>
        <v>0</v>
      </c>
      <c r="AX20" s="940"/>
      <c r="AY20" s="919"/>
      <c r="AZ20" s="921">
        <f t="shared" si="2"/>
        <v>0</v>
      </c>
      <c r="BA20" s="939">
        <f t="shared" si="3"/>
        <v>0</v>
      </c>
    </row>
    <row r="21" spans="1:53" s="81" customFormat="1" ht="14.25" x14ac:dyDescent="0.3">
      <c r="A21" s="395" t="s">
        <v>56</v>
      </c>
      <c r="B21" s="854">
        <v>95786</v>
      </c>
      <c r="C21" s="944">
        <f>C17</f>
        <v>70494</v>
      </c>
      <c r="D21" s="942">
        <v>9209</v>
      </c>
      <c r="E21" s="937">
        <f>E17</f>
        <v>2923</v>
      </c>
      <c r="F21" s="943">
        <v>5253</v>
      </c>
      <c r="G21" s="937">
        <f>G17</f>
        <v>6613</v>
      </c>
      <c r="H21" s="943">
        <v>41389</v>
      </c>
      <c r="I21" s="937">
        <f>I17</f>
        <v>30141</v>
      </c>
      <c r="J21" s="943">
        <v>13445</v>
      </c>
      <c r="K21" s="937">
        <f>K17</f>
        <v>18534</v>
      </c>
      <c r="L21" s="943">
        <v>38663</v>
      </c>
      <c r="M21" s="937">
        <f>M17</f>
        <v>34026</v>
      </c>
      <c r="N21" s="943">
        <v>6059</v>
      </c>
      <c r="O21" s="937">
        <f>O17</f>
        <v>5018</v>
      </c>
      <c r="P21" s="1033">
        <f>P17</f>
        <v>12671</v>
      </c>
      <c r="Q21" s="937">
        <f>Q17</f>
        <v>10338</v>
      </c>
      <c r="R21" s="943"/>
      <c r="S21" s="937">
        <f>S17</f>
        <v>26128</v>
      </c>
      <c r="T21" s="943">
        <v>18283</v>
      </c>
      <c r="U21" s="937">
        <f>U17</f>
        <v>13703</v>
      </c>
      <c r="V21" s="943">
        <v>113652</v>
      </c>
      <c r="W21" s="937">
        <v>108629</v>
      </c>
      <c r="X21" s="943">
        <v>77448</v>
      </c>
      <c r="Y21" s="937">
        <v>67062</v>
      </c>
      <c r="Z21" s="943">
        <v>11262</v>
      </c>
      <c r="AA21" s="937">
        <f>AA17</f>
        <v>17299</v>
      </c>
      <c r="AB21" s="943">
        <v>27926</v>
      </c>
      <c r="AC21" s="937">
        <f>AC17</f>
        <v>25597.01</v>
      </c>
      <c r="AD21" s="943">
        <v>39077</v>
      </c>
      <c r="AE21" s="937">
        <f>AE17</f>
        <v>57968</v>
      </c>
      <c r="AF21" s="943">
        <v>102184</v>
      </c>
      <c r="AG21" s="937">
        <f>AG17</f>
        <v>66169</v>
      </c>
      <c r="AH21" s="1033">
        <f>AH17</f>
        <v>16882</v>
      </c>
      <c r="AI21" s="937">
        <f>AI17</f>
        <v>16332</v>
      </c>
      <c r="AJ21" s="943">
        <v>22538</v>
      </c>
      <c r="AK21" s="937">
        <v>20641</v>
      </c>
      <c r="AL21" s="943"/>
      <c r="AM21" s="937">
        <f>AM17</f>
        <v>0</v>
      </c>
      <c r="AN21" s="1033">
        <f>AN23</f>
        <v>416492</v>
      </c>
      <c r="AO21" s="937">
        <v>320422</v>
      </c>
      <c r="AP21" s="1033">
        <f>AP17</f>
        <v>22437</v>
      </c>
      <c r="AQ21" s="937">
        <f>AQ17</f>
        <v>21727</v>
      </c>
      <c r="AR21" s="943">
        <v>31371</v>
      </c>
      <c r="AS21" s="937">
        <f>AS17</f>
        <v>14208</v>
      </c>
      <c r="AT21" s="943">
        <v>77865</v>
      </c>
      <c r="AU21" s="937">
        <f>AU17</f>
        <v>39868</v>
      </c>
      <c r="AV21" s="961">
        <f t="shared" si="0"/>
        <v>1199892</v>
      </c>
      <c r="AW21" s="960">
        <f t="shared" si="1"/>
        <v>993840.01</v>
      </c>
      <c r="AX21" s="940">
        <v>3820462</v>
      </c>
      <c r="AY21" s="938">
        <v>3730573</v>
      </c>
      <c r="AZ21" s="921">
        <f t="shared" si="2"/>
        <v>5020354</v>
      </c>
      <c r="BA21" s="939">
        <f t="shared" si="3"/>
        <v>4724413.01</v>
      </c>
    </row>
    <row r="22" spans="1:53" ht="14.25" x14ac:dyDescent="0.3">
      <c r="A22" s="395" t="s">
        <v>57</v>
      </c>
      <c r="B22" s="854"/>
      <c r="C22" s="73"/>
      <c r="D22" s="72"/>
      <c r="E22" s="92"/>
      <c r="F22" s="356"/>
      <c r="G22" s="73"/>
      <c r="H22" s="72"/>
      <c r="I22" s="92"/>
      <c r="J22" s="356"/>
      <c r="K22" s="92"/>
      <c r="L22" s="356"/>
      <c r="M22" s="92"/>
      <c r="N22" s="356"/>
      <c r="O22" s="92"/>
      <c r="P22" s="356"/>
      <c r="Q22" s="92"/>
      <c r="R22" s="356"/>
      <c r="S22" s="92"/>
      <c r="T22" s="356"/>
      <c r="U22" s="92"/>
      <c r="V22" s="356">
        <v>13</v>
      </c>
      <c r="W22" s="92">
        <v>27</v>
      </c>
      <c r="X22" s="356">
        <v>74</v>
      </c>
      <c r="Y22" s="92">
        <v>31</v>
      </c>
      <c r="Z22" s="356"/>
      <c r="AA22" s="92"/>
      <c r="AB22" s="356"/>
      <c r="AC22" s="92"/>
      <c r="AD22" s="356"/>
      <c r="AE22" s="92"/>
      <c r="AF22" s="356"/>
      <c r="AG22" s="92"/>
      <c r="AH22" s="356"/>
      <c r="AI22" s="92"/>
      <c r="AJ22" s="356">
        <v>58</v>
      </c>
      <c r="AK22" s="92">
        <v>31</v>
      </c>
      <c r="AL22" s="356"/>
      <c r="AM22" s="92"/>
      <c r="AN22" s="356"/>
      <c r="AO22" s="92"/>
      <c r="AP22" s="356"/>
      <c r="AQ22" s="92"/>
      <c r="AR22" s="356"/>
      <c r="AS22" s="92"/>
      <c r="AT22" s="356">
        <v>42</v>
      </c>
      <c r="AU22" s="92"/>
      <c r="AV22" s="961">
        <f t="shared" si="0"/>
        <v>187</v>
      </c>
      <c r="AW22" s="960">
        <f t="shared" si="1"/>
        <v>89</v>
      </c>
      <c r="AX22" s="940">
        <v>14884</v>
      </c>
      <c r="AY22" s="919">
        <v>12641</v>
      </c>
      <c r="AZ22" s="921">
        <f t="shared" si="2"/>
        <v>15071</v>
      </c>
      <c r="BA22" s="939">
        <f t="shared" si="3"/>
        <v>12730</v>
      </c>
    </row>
    <row r="23" spans="1:53" s="1029" customFormat="1" ht="13.5" x14ac:dyDescent="0.25">
      <c r="A23" s="1139" t="s">
        <v>197</v>
      </c>
      <c r="B23" s="1140">
        <v>95756</v>
      </c>
      <c r="C23" s="1141">
        <f>C17</f>
        <v>70494</v>
      </c>
      <c r="D23" s="1142">
        <v>9209</v>
      </c>
      <c r="E23" s="1141">
        <f t="shared" ref="E23:AS23" si="6">E17</f>
        <v>2923</v>
      </c>
      <c r="F23" s="1142">
        <v>5253</v>
      </c>
      <c r="G23" s="1141">
        <f t="shared" si="6"/>
        <v>6613</v>
      </c>
      <c r="H23" s="1142">
        <v>41389</v>
      </c>
      <c r="I23" s="1141">
        <f t="shared" si="6"/>
        <v>30141</v>
      </c>
      <c r="J23" s="1142">
        <v>13445</v>
      </c>
      <c r="K23" s="1141">
        <f t="shared" si="6"/>
        <v>18534</v>
      </c>
      <c r="L23" s="1142">
        <v>38663</v>
      </c>
      <c r="M23" s="1141">
        <f t="shared" si="6"/>
        <v>34026</v>
      </c>
      <c r="N23" s="1142">
        <v>6059</v>
      </c>
      <c r="O23" s="1141">
        <f t="shared" si="6"/>
        <v>5018</v>
      </c>
      <c r="P23" s="1142">
        <f>P17</f>
        <v>12671</v>
      </c>
      <c r="Q23" s="1141">
        <f t="shared" si="6"/>
        <v>10338</v>
      </c>
      <c r="R23" s="1142"/>
      <c r="S23" s="1141">
        <f t="shared" si="6"/>
        <v>26128</v>
      </c>
      <c r="T23" s="1142">
        <v>18283</v>
      </c>
      <c r="U23" s="1141">
        <f t="shared" si="6"/>
        <v>13703</v>
      </c>
      <c r="V23" s="1142">
        <v>113665</v>
      </c>
      <c r="W23" s="1141">
        <f t="shared" si="6"/>
        <v>108657</v>
      </c>
      <c r="X23" s="1142">
        <v>77522</v>
      </c>
      <c r="Y23" s="1141">
        <f t="shared" si="6"/>
        <v>67093</v>
      </c>
      <c r="Z23" s="1142">
        <v>11262</v>
      </c>
      <c r="AA23" s="1141">
        <f t="shared" si="6"/>
        <v>17299</v>
      </c>
      <c r="AB23" s="1142">
        <v>27826</v>
      </c>
      <c r="AC23" s="1141">
        <f t="shared" si="6"/>
        <v>25597.01</v>
      </c>
      <c r="AD23" s="1142">
        <v>39077</v>
      </c>
      <c r="AE23" s="1141">
        <f t="shared" si="6"/>
        <v>57968</v>
      </c>
      <c r="AF23" s="1142">
        <v>102184</v>
      </c>
      <c r="AG23" s="1141">
        <f t="shared" si="6"/>
        <v>66169</v>
      </c>
      <c r="AH23" s="1142">
        <f>AH17</f>
        <v>16882</v>
      </c>
      <c r="AI23" s="1141">
        <f t="shared" si="6"/>
        <v>16332</v>
      </c>
      <c r="AJ23" s="1142">
        <v>22596</v>
      </c>
      <c r="AK23" s="1141">
        <f t="shared" si="6"/>
        <v>20672</v>
      </c>
      <c r="AL23" s="1142"/>
      <c r="AM23" s="1141">
        <f t="shared" si="6"/>
        <v>0</v>
      </c>
      <c r="AN23" s="1142">
        <v>416492</v>
      </c>
      <c r="AO23" s="1141">
        <f t="shared" si="6"/>
        <v>320421</v>
      </c>
      <c r="AP23" s="1142">
        <f>AP17</f>
        <v>22437</v>
      </c>
      <c r="AQ23" s="1141">
        <f t="shared" si="6"/>
        <v>21727</v>
      </c>
      <c r="AR23" s="1142">
        <v>31371</v>
      </c>
      <c r="AS23" s="1141">
        <f t="shared" si="6"/>
        <v>14208</v>
      </c>
      <c r="AT23" s="1142">
        <v>77907</v>
      </c>
      <c r="AU23" s="1143">
        <f>AU17</f>
        <v>39868</v>
      </c>
      <c r="AV23" s="1145">
        <f t="shared" si="0"/>
        <v>1199949</v>
      </c>
      <c r="AW23" s="1146">
        <f t="shared" si="1"/>
        <v>993929.01</v>
      </c>
      <c r="AX23" s="1142">
        <f>AX21+AX22</f>
        <v>3835346</v>
      </c>
      <c r="AY23" s="1144">
        <f>AY21+AY22</f>
        <v>3743214</v>
      </c>
      <c r="AZ23" s="1140">
        <f t="shared" si="2"/>
        <v>5035295</v>
      </c>
      <c r="BA23" s="1141">
        <f t="shared" si="3"/>
        <v>4737143.01</v>
      </c>
    </row>
    <row r="24" spans="1:53" ht="14.25" x14ac:dyDescent="0.3">
      <c r="A24" s="395" t="s">
        <v>198</v>
      </c>
      <c r="B24" s="854"/>
      <c r="C24" s="92"/>
      <c r="D24" s="356"/>
      <c r="E24" s="92"/>
      <c r="F24" s="356"/>
      <c r="G24" s="92"/>
      <c r="H24" s="356"/>
      <c r="I24" s="92"/>
      <c r="J24" s="356"/>
      <c r="K24" s="92"/>
      <c r="L24" s="356"/>
      <c r="M24" s="92"/>
      <c r="N24" s="356"/>
      <c r="O24" s="92"/>
      <c r="P24" s="356"/>
      <c r="Q24" s="92"/>
      <c r="R24" s="356"/>
      <c r="S24" s="92"/>
      <c r="T24" s="356"/>
      <c r="U24" s="92"/>
      <c r="V24" s="356"/>
      <c r="W24" s="92"/>
      <c r="X24" s="356"/>
      <c r="Y24" s="92"/>
      <c r="Z24" s="356"/>
      <c r="AA24" s="92"/>
      <c r="AB24" s="356"/>
      <c r="AC24" s="92"/>
      <c r="AD24" s="356"/>
      <c r="AE24" s="92"/>
      <c r="AF24" s="356"/>
      <c r="AG24" s="92"/>
      <c r="AH24" s="356"/>
      <c r="AI24" s="92"/>
      <c r="AJ24" s="356"/>
      <c r="AK24" s="92"/>
      <c r="AL24" s="356"/>
      <c r="AM24" s="92"/>
      <c r="AN24" s="356"/>
      <c r="AO24" s="92"/>
      <c r="AP24" s="356"/>
      <c r="AQ24" s="92"/>
      <c r="AR24" s="356"/>
      <c r="AS24" s="92"/>
      <c r="AT24" s="356"/>
      <c r="AU24" s="92"/>
      <c r="AV24" s="961">
        <f t="shared" si="0"/>
        <v>0</v>
      </c>
      <c r="AW24" s="960">
        <f t="shared" si="1"/>
        <v>0</v>
      </c>
      <c r="AX24" s="940"/>
      <c r="AY24" s="919"/>
      <c r="AZ24" s="921">
        <f t="shared" si="2"/>
        <v>0</v>
      </c>
      <c r="BA24" s="939">
        <f t="shared" si="3"/>
        <v>0</v>
      </c>
    </row>
    <row r="25" spans="1:53" ht="14.25" x14ac:dyDescent="0.3">
      <c r="A25" s="351" t="s">
        <v>0</v>
      </c>
      <c r="B25" s="941"/>
      <c r="C25" s="950"/>
      <c r="D25" s="949"/>
      <c r="E25" s="92"/>
      <c r="F25" s="356"/>
      <c r="G25" s="92"/>
      <c r="H25" s="356"/>
      <c r="I25" s="92"/>
      <c r="J25" s="356"/>
      <c r="K25" s="92"/>
      <c r="L25" s="356"/>
      <c r="M25" s="92"/>
      <c r="N25" s="356"/>
      <c r="O25" s="92"/>
      <c r="P25" s="356"/>
      <c r="Q25" s="92"/>
      <c r="R25" s="356"/>
      <c r="S25" s="92"/>
      <c r="T25" s="356"/>
      <c r="U25" s="92"/>
      <c r="V25" s="356"/>
      <c r="W25" s="92"/>
      <c r="X25" s="356"/>
      <c r="Y25" s="92"/>
      <c r="Z25" s="356"/>
      <c r="AA25" s="92"/>
      <c r="AB25" s="356"/>
      <c r="AC25" s="92"/>
      <c r="AD25" s="356"/>
      <c r="AE25" s="92"/>
      <c r="AF25" s="356"/>
      <c r="AG25" s="92"/>
      <c r="AH25" s="356"/>
      <c r="AI25" s="92"/>
      <c r="AJ25" s="356"/>
      <c r="AK25" s="92"/>
      <c r="AL25" s="356"/>
      <c r="AM25" s="92"/>
      <c r="AN25" s="356"/>
      <c r="AO25" s="92"/>
      <c r="AP25" s="356"/>
      <c r="AQ25" s="92"/>
      <c r="AR25" s="356"/>
      <c r="AS25" s="92"/>
      <c r="AT25" s="356"/>
      <c r="AU25" s="92"/>
      <c r="AV25" s="961">
        <f t="shared" si="0"/>
        <v>0</v>
      </c>
      <c r="AW25" s="960">
        <f t="shared" si="1"/>
        <v>0</v>
      </c>
      <c r="AX25" s="940"/>
      <c r="AY25" s="919"/>
      <c r="AZ25" s="921">
        <f t="shared" si="2"/>
        <v>0</v>
      </c>
      <c r="BA25" s="939">
        <f t="shared" si="3"/>
        <v>0</v>
      </c>
    </row>
    <row r="26" spans="1:53" ht="14.25" x14ac:dyDescent="0.3">
      <c r="A26" s="351" t="s">
        <v>199</v>
      </c>
      <c r="B26" s="941"/>
      <c r="C26" s="702">
        <f>C29-C28</f>
        <v>1380</v>
      </c>
      <c r="D26" s="948"/>
      <c r="E26" s="92"/>
      <c r="F26" s="356"/>
      <c r="G26" s="702"/>
      <c r="H26" s="948"/>
      <c r="I26" s="92"/>
      <c r="J26" s="356"/>
      <c r="K26" s="92"/>
      <c r="L26" s="356"/>
      <c r="M26" s="92"/>
      <c r="N26" s="356"/>
      <c r="O26" s="92"/>
      <c r="P26" s="356"/>
      <c r="Q26" s="92"/>
      <c r="R26" s="356"/>
      <c r="S26" s="92"/>
      <c r="T26" s="356"/>
      <c r="U26" s="92"/>
      <c r="V26" s="356"/>
      <c r="W26" s="92"/>
      <c r="X26" s="356"/>
      <c r="Y26" s="92"/>
      <c r="Z26" s="356"/>
      <c r="AA26" s="92"/>
      <c r="AB26" s="356"/>
      <c r="AC26" s="92"/>
      <c r="AD26" s="356">
        <v>1060</v>
      </c>
      <c r="AE26" s="92">
        <v>1478</v>
      </c>
      <c r="AF26" s="356"/>
      <c r="AG26" s="92"/>
      <c r="AH26" s="356"/>
      <c r="AI26" s="92"/>
      <c r="AJ26" s="356"/>
      <c r="AK26" s="92"/>
      <c r="AL26" s="356"/>
      <c r="AM26" s="92"/>
      <c r="AN26" s="356"/>
      <c r="AO26" s="92"/>
      <c r="AP26" s="356"/>
      <c r="AQ26" s="92"/>
      <c r="AR26" s="356">
        <v>15</v>
      </c>
      <c r="AS26" s="92">
        <v>16</v>
      </c>
      <c r="AT26" s="356"/>
      <c r="AU26" s="92"/>
      <c r="AV26" s="961">
        <f t="shared" si="0"/>
        <v>1075</v>
      </c>
      <c r="AW26" s="960">
        <f t="shared" si="1"/>
        <v>2874</v>
      </c>
      <c r="AX26" s="940"/>
      <c r="AY26" s="919"/>
      <c r="AZ26" s="921">
        <f t="shared" si="2"/>
        <v>1075</v>
      </c>
      <c r="BA26" s="939">
        <f t="shared" si="3"/>
        <v>2874</v>
      </c>
    </row>
    <row r="27" spans="1:53" ht="14.25" x14ac:dyDescent="0.3">
      <c r="A27" s="351" t="s">
        <v>200</v>
      </c>
      <c r="B27" s="941"/>
      <c r="C27" s="73"/>
      <c r="D27" s="72"/>
      <c r="E27" s="92"/>
      <c r="F27" s="356"/>
      <c r="G27" s="73"/>
      <c r="H27" s="72"/>
      <c r="I27" s="92"/>
      <c r="J27" s="356"/>
      <c r="K27" s="92"/>
      <c r="L27" s="356"/>
      <c r="M27" s="92"/>
      <c r="N27" s="356"/>
      <c r="O27" s="92"/>
      <c r="P27" s="356"/>
      <c r="Q27" s="92"/>
      <c r="R27" s="356"/>
      <c r="S27" s="92"/>
      <c r="T27" s="356"/>
      <c r="U27" s="92"/>
      <c r="V27" s="356"/>
      <c r="W27" s="92"/>
      <c r="X27" s="356"/>
      <c r="Y27" s="92"/>
      <c r="Z27" s="356"/>
      <c r="AA27" s="92"/>
      <c r="AB27" s="356"/>
      <c r="AC27" s="92"/>
      <c r="AD27" s="356">
        <v>821</v>
      </c>
      <c r="AE27" s="92">
        <v>792</v>
      </c>
      <c r="AF27" s="356"/>
      <c r="AG27" s="92"/>
      <c r="AH27" s="356"/>
      <c r="AI27" s="92"/>
      <c r="AJ27" s="356"/>
      <c r="AK27" s="92"/>
      <c r="AL27" s="356"/>
      <c r="AM27" s="92"/>
      <c r="AN27" s="356">
        <v>3709</v>
      </c>
      <c r="AO27" s="92">
        <v>3586</v>
      </c>
      <c r="AP27" s="356"/>
      <c r="AQ27" s="92"/>
      <c r="AR27" s="356"/>
      <c r="AS27" s="92"/>
      <c r="AT27" s="356"/>
      <c r="AU27" s="92"/>
      <c r="AV27" s="961">
        <f t="shared" si="0"/>
        <v>4530</v>
      </c>
      <c r="AW27" s="960">
        <f t="shared" si="1"/>
        <v>4378</v>
      </c>
      <c r="AX27" s="940"/>
      <c r="AY27" s="919"/>
      <c r="AZ27" s="921">
        <f t="shared" si="2"/>
        <v>4530</v>
      </c>
      <c r="BA27" s="939">
        <f t="shared" si="3"/>
        <v>4378</v>
      </c>
    </row>
    <row r="28" spans="1:53" ht="15" thickBot="1" x14ac:dyDescent="0.35">
      <c r="A28" s="951" t="s">
        <v>201</v>
      </c>
      <c r="B28" s="952">
        <v>9734</v>
      </c>
      <c r="C28" s="953">
        <v>5878</v>
      </c>
      <c r="D28" s="954"/>
      <c r="E28" s="514"/>
      <c r="F28" s="515"/>
      <c r="G28" s="953"/>
      <c r="H28" s="954">
        <v>9614</v>
      </c>
      <c r="I28" s="514"/>
      <c r="J28" s="515"/>
      <c r="K28" s="514"/>
      <c r="L28" s="515">
        <v>4903</v>
      </c>
      <c r="M28" s="514"/>
      <c r="N28" s="515">
        <v>575</v>
      </c>
      <c r="O28" s="514"/>
      <c r="P28" s="515">
        <v>3857</v>
      </c>
      <c r="Q28" s="514">
        <v>2959</v>
      </c>
      <c r="R28" s="515"/>
      <c r="S28" s="514"/>
      <c r="T28" s="515"/>
      <c r="U28" s="514"/>
      <c r="V28" s="515">
        <v>19878</v>
      </c>
      <c r="W28" s="514">
        <v>10845</v>
      </c>
      <c r="X28" s="515">
        <v>10408</v>
      </c>
      <c r="Y28" s="514"/>
      <c r="Z28" s="515">
        <v>99</v>
      </c>
      <c r="AA28" s="514">
        <v>115</v>
      </c>
      <c r="AB28" s="515">
        <v>0</v>
      </c>
      <c r="AC28" s="514">
        <v>0</v>
      </c>
      <c r="AD28" s="515">
        <v>8182</v>
      </c>
      <c r="AE28" s="514">
        <v>9925</v>
      </c>
      <c r="AF28" s="515">
        <v>12839</v>
      </c>
      <c r="AG28" s="514">
        <v>3847</v>
      </c>
      <c r="AH28" s="515">
        <v>4167</v>
      </c>
      <c r="AI28" s="514">
        <v>7508</v>
      </c>
      <c r="AJ28" s="515">
        <v>4645</v>
      </c>
      <c r="AK28" s="514">
        <v>3532</v>
      </c>
      <c r="AL28" s="515"/>
      <c r="AM28" s="514"/>
      <c r="AN28" s="515">
        <v>6114</v>
      </c>
      <c r="AO28" s="514">
        <v>6360</v>
      </c>
      <c r="AP28" s="515">
        <v>843</v>
      </c>
      <c r="AQ28" s="514">
        <v>535</v>
      </c>
      <c r="AR28" s="515">
        <v>949</v>
      </c>
      <c r="AS28" s="514">
        <v>1057</v>
      </c>
      <c r="AT28" s="515">
        <v>16803</v>
      </c>
      <c r="AU28" s="514"/>
      <c r="AV28" s="961">
        <f t="shared" si="0"/>
        <v>113610</v>
      </c>
      <c r="AW28" s="960">
        <f t="shared" si="1"/>
        <v>52561</v>
      </c>
      <c r="AX28" s="956">
        <v>269957</v>
      </c>
      <c r="AY28" s="920">
        <v>272273</v>
      </c>
      <c r="AZ28" s="932">
        <f t="shared" si="2"/>
        <v>383567</v>
      </c>
      <c r="BA28" s="955">
        <f t="shared" si="3"/>
        <v>324834</v>
      </c>
    </row>
    <row r="29" spans="1:53" s="786" customFormat="1" ht="15" thickBot="1" x14ac:dyDescent="0.35">
      <c r="A29" s="1006" t="s">
        <v>54</v>
      </c>
      <c r="B29" s="1007"/>
      <c r="C29" s="1005">
        <v>7258</v>
      </c>
      <c r="D29" s="1008"/>
      <c r="E29" s="1009"/>
      <c r="F29" s="1010"/>
      <c r="G29" s="1009"/>
      <c r="H29" s="1010"/>
      <c r="I29" s="1009"/>
      <c r="J29" s="1010"/>
      <c r="K29" s="1009"/>
      <c r="L29" s="1010"/>
      <c r="M29" s="1009"/>
      <c r="N29" s="1010"/>
      <c r="O29" s="1009"/>
      <c r="P29" s="1010"/>
      <c r="Q29" s="1009"/>
      <c r="R29" s="1010"/>
      <c r="S29" s="1009"/>
      <c r="T29" s="1010"/>
      <c r="U29" s="1009"/>
      <c r="V29" s="1010"/>
      <c r="W29" s="1009"/>
      <c r="X29" s="1010"/>
      <c r="Y29" s="1009"/>
      <c r="Z29" s="1010"/>
      <c r="AA29" s="1009"/>
      <c r="AB29" s="1010"/>
      <c r="AC29" s="1009"/>
      <c r="AD29" s="1010">
        <v>10063</v>
      </c>
      <c r="AE29" s="1009">
        <v>12195</v>
      </c>
      <c r="AF29" s="1010"/>
      <c r="AG29" s="1009"/>
      <c r="AH29" s="1010"/>
      <c r="AI29" s="1009"/>
      <c r="AJ29" s="1010"/>
      <c r="AK29" s="1009"/>
      <c r="AL29" s="1010"/>
      <c r="AM29" s="1009"/>
      <c r="AN29" s="1010">
        <v>9823</v>
      </c>
      <c r="AO29" s="1009">
        <v>9945</v>
      </c>
      <c r="AP29" s="1010"/>
      <c r="AQ29" s="1009"/>
      <c r="AR29" s="1010">
        <v>964</v>
      </c>
      <c r="AS29" s="1009">
        <v>1073</v>
      </c>
      <c r="AT29" s="1010"/>
      <c r="AU29" s="1009"/>
      <c r="AV29" s="1011">
        <f t="shared" si="0"/>
        <v>20850</v>
      </c>
      <c r="AW29" s="1012">
        <f t="shared" si="1"/>
        <v>30471</v>
      </c>
      <c r="AX29" s="1013"/>
      <c r="AY29" s="1014"/>
      <c r="AZ29" s="1015">
        <f t="shared" si="2"/>
        <v>20850</v>
      </c>
      <c r="BA29" s="1016">
        <f t="shared" si="3"/>
        <v>30471</v>
      </c>
    </row>
  </sheetData>
  <mergeCells count="26"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X1:AY1"/>
    <mergeCell ref="AZ1:BA1"/>
    <mergeCell ref="AL1:AM1"/>
    <mergeCell ref="AN1:AO1"/>
    <mergeCell ref="AP1:AQ1"/>
    <mergeCell ref="AR1:AS1"/>
    <mergeCell ref="AT1:AU1"/>
    <mergeCell ref="AV1:AW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K27"/>
  <sheetViews>
    <sheetView workbookViewId="0">
      <pane xSplit="1" topLeftCell="B1" activePane="topRight" state="frozen"/>
      <selection pane="topRight" activeCell="Q24" sqref="Q24"/>
    </sheetView>
  </sheetViews>
  <sheetFormatPr defaultRowHeight="15" x14ac:dyDescent="0.25"/>
  <cols>
    <col min="1" max="1" width="29.7109375" style="1307" customWidth="1"/>
    <col min="2" max="2" width="6.5703125" style="1303" customWidth="1"/>
    <col min="3" max="3" width="6.42578125" style="1303" customWidth="1"/>
    <col min="4" max="4" width="6.140625" style="1303" customWidth="1"/>
    <col min="5" max="6" width="6.42578125" style="1303" customWidth="1"/>
    <col min="7" max="7" width="5.85546875" style="1303" customWidth="1"/>
    <col min="8" max="8" width="6.42578125" style="1303" customWidth="1"/>
    <col min="9" max="9" width="6.7109375" style="1303" customWidth="1"/>
    <col min="10" max="10" width="6.140625" style="1303" customWidth="1"/>
    <col min="11" max="11" width="6.42578125" style="1303" customWidth="1"/>
  </cols>
  <sheetData>
    <row r="1" spans="1:11" ht="17.25" thickBot="1" x14ac:dyDescent="0.3">
      <c r="A1" s="1448" t="s">
        <v>441</v>
      </c>
      <c r="B1" s="1449"/>
      <c r="C1" s="1449"/>
      <c r="D1" s="1449"/>
      <c r="E1" s="1449"/>
      <c r="F1" s="1449"/>
      <c r="G1" s="1449"/>
      <c r="H1" s="1449"/>
      <c r="I1" s="1449"/>
      <c r="J1" s="1449"/>
      <c r="K1" s="1449"/>
    </row>
    <row r="2" spans="1:11" s="150" customFormat="1" ht="15.75" thickBot="1" x14ac:dyDescent="0.3">
      <c r="A2" s="1442" t="s">
        <v>386</v>
      </c>
      <c r="B2" s="1381" t="s">
        <v>412</v>
      </c>
      <c r="C2" s="1444"/>
      <c r="D2" s="1444"/>
      <c r="E2" s="1444"/>
      <c r="F2" s="1444"/>
      <c r="G2" s="1445" t="s">
        <v>411</v>
      </c>
      <c r="H2" s="1446"/>
      <c r="I2" s="1446"/>
      <c r="J2" s="1446"/>
      <c r="K2" s="1447"/>
    </row>
    <row r="3" spans="1:11" ht="29.25" thickBot="1" x14ac:dyDescent="0.3">
      <c r="A3" s="1443"/>
      <c r="B3" s="1308" t="s">
        <v>415</v>
      </c>
      <c r="C3" s="1309" t="s">
        <v>416</v>
      </c>
      <c r="D3" s="1309" t="s">
        <v>417</v>
      </c>
      <c r="E3" s="1309" t="s">
        <v>418</v>
      </c>
      <c r="F3" s="1310" t="s">
        <v>419</v>
      </c>
      <c r="G3" s="1308" t="s">
        <v>415</v>
      </c>
      <c r="H3" s="1309" t="s">
        <v>416</v>
      </c>
      <c r="I3" s="1309" t="s">
        <v>417</v>
      </c>
      <c r="J3" s="1309" t="s">
        <v>418</v>
      </c>
      <c r="K3" s="1309" t="s">
        <v>419</v>
      </c>
    </row>
    <row r="4" spans="1:11" ht="26.25" thickBot="1" x14ac:dyDescent="0.35">
      <c r="A4" s="1304" t="s">
        <v>387</v>
      </c>
      <c r="B4" s="1311">
        <v>78.38</v>
      </c>
      <c r="C4" s="1311">
        <v>63.85</v>
      </c>
      <c r="D4" s="1311">
        <v>57.77</v>
      </c>
      <c r="E4" s="1311">
        <v>53.91</v>
      </c>
      <c r="F4" s="1312">
        <v>44.58</v>
      </c>
      <c r="G4" s="1313">
        <v>86.76</v>
      </c>
      <c r="H4" s="1314">
        <v>71.790000000000006</v>
      </c>
      <c r="I4" s="1314">
        <v>65.650000000000006</v>
      </c>
      <c r="J4" s="1314">
        <v>63.34</v>
      </c>
      <c r="K4" s="1315">
        <v>53.63</v>
      </c>
    </row>
    <row r="5" spans="1:11" ht="16.5" thickBot="1" x14ac:dyDescent="0.35">
      <c r="A5" s="1304" t="s">
        <v>388</v>
      </c>
      <c r="B5" s="1311">
        <v>74</v>
      </c>
      <c r="C5" s="1311">
        <v>70</v>
      </c>
      <c r="D5" s="1311">
        <v>65</v>
      </c>
      <c r="E5" s="1311">
        <v>62</v>
      </c>
      <c r="F5" s="1312">
        <v>54</v>
      </c>
      <c r="G5" s="1313">
        <v>84</v>
      </c>
      <c r="H5" s="1314">
        <v>65</v>
      </c>
      <c r="I5" s="1314">
        <v>55</v>
      </c>
      <c r="J5" s="1314">
        <v>53</v>
      </c>
      <c r="K5" s="1315">
        <v>41</v>
      </c>
    </row>
    <row r="6" spans="1:11" ht="16.5" thickBot="1" x14ac:dyDescent="0.35">
      <c r="A6" s="1305" t="s">
        <v>389</v>
      </c>
      <c r="B6" s="1316">
        <v>60</v>
      </c>
      <c r="C6" s="1317">
        <v>54</v>
      </c>
      <c r="D6" s="1317">
        <v>51</v>
      </c>
      <c r="E6" s="1317">
        <v>56</v>
      </c>
      <c r="F6" s="1328">
        <v>42</v>
      </c>
      <c r="G6" s="1318">
        <v>75</v>
      </c>
      <c r="H6" s="1319">
        <v>59</v>
      </c>
      <c r="I6" s="1319">
        <v>53</v>
      </c>
      <c r="J6" s="1319">
        <v>47</v>
      </c>
      <c r="K6" s="1320">
        <v>44</v>
      </c>
    </row>
    <row r="7" spans="1:11" ht="16.5" thickBot="1" x14ac:dyDescent="0.35">
      <c r="A7" s="1304" t="s">
        <v>390</v>
      </c>
      <c r="B7" s="1311">
        <v>77.599999999999994</v>
      </c>
      <c r="C7" s="1311">
        <v>65.599999999999994</v>
      </c>
      <c r="D7" s="1311">
        <v>56.4</v>
      </c>
      <c r="E7" s="1311">
        <v>52.2</v>
      </c>
      <c r="F7" s="1312">
        <v>44.1</v>
      </c>
      <c r="G7" s="1313">
        <v>82.4</v>
      </c>
      <c r="H7" s="1314">
        <v>71.900000000000006</v>
      </c>
      <c r="I7" s="1314">
        <v>66.400000000000006</v>
      </c>
      <c r="J7" s="1314">
        <v>62.1</v>
      </c>
      <c r="K7" s="1315">
        <v>49.2</v>
      </c>
    </row>
    <row r="8" spans="1:11" ht="16.5" thickBot="1" x14ac:dyDescent="0.35">
      <c r="A8" s="1304" t="s">
        <v>391</v>
      </c>
      <c r="B8" s="1311">
        <v>64</v>
      </c>
      <c r="C8" s="1311">
        <v>46.8</v>
      </c>
      <c r="D8" s="1311">
        <v>26.8</v>
      </c>
      <c r="E8" s="1311">
        <v>35.4</v>
      </c>
      <c r="F8" s="1312">
        <v>37.1</v>
      </c>
      <c r="G8" s="1313">
        <v>69.400000000000006</v>
      </c>
      <c r="H8" s="1314">
        <v>53.2</v>
      </c>
      <c r="I8" s="1314">
        <v>44.3</v>
      </c>
      <c r="J8" s="1314">
        <v>43.5</v>
      </c>
      <c r="K8" s="1315">
        <v>43</v>
      </c>
    </row>
    <row r="9" spans="1:11" ht="16.5" thickBot="1" x14ac:dyDescent="0.35">
      <c r="A9" s="1304" t="s">
        <v>392</v>
      </c>
      <c r="B9" s="1321">
        <v>72</v>
      </c>
      <c r="C9" s="1321">
        <v>63.1</v>
      </c>
      <c r="D9" s="1321">
        <v>57.9</v>
      </c>
      <c r="E9" s="1321">
        <v>55.9</v>
      </c>
      <c r="F9" s="1322">
        <v>47.8</v>
      </c>
      <c r="G9" s="1313">
        <v>75.3</v>
      </c>
      <c r="H9" s="1314">
        <v>66</v>
      </c>
      <c r="I9" s="1314">
        <v>65.099999999999994</v>
      </c>
      <c r="J9" s="1314">
        <v>63.2</v>
      </c>
      <c r="K9" s="1315">
        <v>52</v>
      </c>
    </row>
    <row r="10" spans="1:11" ht="16.5" thickBot="1" x14ac:dyDescent="0.35">
      <c r="A10" s="1305" t="s">
        <v>393</v>
      </c>
      <c r="B10" s="1317">
        <v>78.040000000000006</v>
      </c>
      <c r="C10" s="1317">
        <v>70.739999999999995</v>
      </c>
      <c r="D10" s="1317">
        <v>65.38</v>
      </c>
      <c r="E10" s="1317">
        <v>49.93</v>
      </c>
      <c r="F10" s="1328">
        <v>46.64</v>
      </c>
      <c r="G10" s="1318">
        <v>77.34</v>
      </c>
      <c r="H10" s="1319">
        <v>70.5</v>
      </c>
      <c r="I10" s="1319">
        <v>65.75</v>
      </c>
      <c r="J10" s="1319">
        <v>49.5</v>
      </c>
      <c r="K10" s="1320">
        <v>44.59</v>
      </c>
    </row>
    <row r="11" spans="1:11" ht="26.25" thickBot="1" x14ac:dyDescent="0.35">
      <c r="A11" s="1304" t="s">
        <v>394</v>
      </c>
      <c r="B11" s="1321">
        <v>67.7</v>
      </c>
      <c r="C11" s="1321">
        <v>53.2</v>
      </c>
      <c r="D11" s="1321">
        <v>53.1</v>
      </c>
      <c r="E11" s="1321">
        <v>49.2</v>
      </c>
      <c r="F11" s="1322">
        <v>37.9</v>
      </c>
      <c r="G11" s="1313">
        <v>75.3</v>
      </c>
      <c r="H11" s="1314">
        <v>56.5</v>
      </c>
      <c r="I11" s="1314">
        <v>56.2</v>
      </c>
      <c r="J11" s="1314">
        <v>52.3</v>
      </c>
      <c r="K11" s="1315">
        <v>41.6</v>
      </c>
    </row>
    <row r="12" spans="1:11" ht="16.5" thickBot="1" x14ac:dyDescent="0.35">
      <c r="A12" s="1304" t="s">
        <v>395</v>
      </c>
      <c r="B12" s="1329"/>
      <c r="C12" s="1329"/>
      <c r="D12" s="1329"/>
      <c r="E12" s="1329"/>
      <c r="F12" s="1330"/>
      <c r="G12" s="1331"/>
      <c r="H12" s="1332"/>
      <c r="I12" s="1332"/>
      <c r="J12" s="1332"/>
      <c r="K12" s="1333"/>
    </row>
    <row r="13" spans="1:11" ht="26.25" thickBot="1" x14ac:dyDescent="0.35">
      <c r="A13" s="1305" t="s">
        <v>396</v>
      </c>
      <c r="B13" s="1313">
        <v>69.27</v>
      </c>
      <c r="C13" s="1314">
        <v>53.72</v>
      </c>
      <c r="D13" s="1314">
        <v>41.7</v>
      </c>
      <c r="E13" s="1314">
        <v>32.24</v>
      </c>
      <c r="F13" s="1334">
        <v>24.95</v>
      </c>
      <c r="G13" s="1335">
        <v>74.599999999999994</v>
      </c>
      <c r="H13" s="1336">
        <v>58.09</v>
      </c>
      <c r="I13" s="1336">
        <v>40.840000000000003</v>
      </c>
      <c r="J13" s="1336">
        <v>28.55</v>
      </c>
      <c r="K13" s="1337">
        <v>22.66</v>
      </c>
    </row>
    <row r="14" spans="1:11" ht="26.25" thickBot="1" x14ac:dyDescent="0.35">
      <c r="A14" s="1304" t="s">
        <v>397</v>
      </c>
      <c r="B14" s="1323">
        <v>81.599999999999994</v>
      </c>
      <c r="C14" s="1323">
        <v>70.010000000000005</v>
      </c>
      <c r="D14" s="1323">
        <v>61.43</v>
      </c>
      <c r="E14" s="1323">
        <v>54.64</v>
      </c>
      <c r="F14" s="1324">
        <v>47.66</v>
      </c>
      <c r="G14" s="1325">
        <v>87.49</v>
      </c>
      <c r="H14" s="1326">
        <v>78.72</v>
      </c>
      <c r="I14" s="1326">
        <v>72.400000000000006</v>
      </c>
      <c r="J14" s="1326">
        <v>63.98</v>
      </c>
      <c r="K14" s="1327">
        <v>52.26</v>
      </c>
    </row>
    <row r="15" spans="1:11" ht="26.25" thickBot="1" x14ac:dyDescent="0.35">
      <c r="A15" s="1305" t="s">
        <v>398</v>
      </c>
      <c r="B15" s="1317">
        <v>76.3</v>
      </c>
      <c r="C15" s="1317">
        <v>68.5</v>
      </c>
      <c r="D15" s="1317">
        <v>63.8</v>
      </c>
      <c r="E15" s="1317">
        <v>55.5</v>
      </c>
      <c r="F15" s="1328">
        <v>47.5</v>
      </c>
      <c r="G15" s="1318">
        <v>85.4</v>
      </c>
      <c r="H15" s="1319">
        <v>77.099999999999994</v>
      </c>
      <c r="I15" s="1319">
        <v>71.5</v>
      </c>
      <c r="J15" s="1319">
        <v>63.9</v>
      </c>
      <c r="K15" s="1320">
        <v>65.8</v>
      </c>
    </row>
    <row r="16" spans="1:11" ht="16.5" thickBot="1" x14ac:dyDescent="0.35">
      <c r="A16" s="1304" t="s">
        <v>410</v>
      </c>
      <c r="B16" s="1311">
        <v>69.08</v>
      </c>
      <c r="C16" s="1311">
        <v>56.79</v>
      </c>
      <c r="D16" s="1311">
        <v>55.99</v>
      </c>
      <c r="E16" s="1311">
        <v>50.84</v>
      </c>
      <c r="F16" s="1312">
        <v>36.53</v>
      </c>
      <c r="G16" s="1313">
        <v>78.05</v>
      </c>
      <c r="H16" s="1314">
        <v>67.39</v>
      </c>
      <c r="I16" s="1314">
        <v>63.76</v>
      </c>
      <c r="J16" s="1314">
        <v>55.43</v>
      </c>
      <c r="K16" s="1315">
        <v>38.799999999999997</v>
      </c>
    </row>
    <row r="17" spans="1:11" ht="16.5" thickBot="1" x14ac:dyDescent="0.35">
      <c r="A17" s="1305" t="s">
        <v>399</v>
      </c>
      <c r="B17" s="1317">
        <v>72.8</v>
      </c>
      <c r="C17" s="1317">
        <v>60.18</v>
      </c>
      <c r="D17" s="1317">
        <v>57.14</v>
      </c>
      <c r="E17" s="1317">
        <v>48.96</v>
      </c>
      <c r="F17" s="1328">
        <v>39.54</v>
      </c>
      <c r="G17" s="1318">
        <v>81.48</v>
      </c>
      <c r="H17" s="1319">
        <v>69.97</v>
      </c>
      <c r="I17" s="1319">
        <v>66.239999999999995</v>
      </c>
      <c r="J17" s="1319">
        <v>58.58</v>
      </c>
      <c r="K17" s="1320">
        <v>44.17</v>
      </c>
    </row>
    <row r="18" spans="1:11" ht="26.25" thickBot="1" x14ac:dyDescent="0.35">
      <c r="A18" s="1304" t="s">
        <v>400</v>
      </c>
      <c r="B18" s="1321">
        <v>80.2</v>
      </c>
      <c r="C18" s="1321">
        <v>67.7</v>
      </c>
      <c r="D18" s="1321">
        <v>63.9</v>
      </c>
      <c r="E18" s="1321">
        <v>60</v>
      </c>
      <c r="F18" s="1322">
        <v>53.4</v>
      </c>
      <c r="G18" s="1313">
        <v>85.2</v>
      </c>
      <c r="H18" s="1314">
        <v>72.7</v>
      </c>
      <c r="I18" s="1314">
        <v>67.2</v>
      </c>
      <c r="J18" s="1314">
        <v>63</v>
      </c>
      <c r="K18" s="1315">
        <v>50.5</v>
      </c>
    </row>
    <row r="19" spans="1:11" ht="16.5" thickBot="1" x14ac:dyDescent="0.35">
      <c r="A19" s="1305" t="s">
        <v>401</v>
      </c>
      <c r="B19" s="1317">
        <v>84</v>
      </c>
      <c r="C19" s="1317">
        <v>70</v>
      </c>
      <c r="D19" s="1317">
        <v>61</v>
      </c>
      <c r="E19" s="1317">
        <v>55</v>
      </c>
      <c r="F19" s="1328">
        <v>49</v>
      </c>
      <c r="G19" s="1318">
        <v>83</v>
      </c>
      <c r="H19" s="1319">
        <v>68</v>
      </c>
      <c r="I19" s="1319">
        <v>60</v>
      </c>
      <c r="J19" s="1319">
        <v>57</v>
      </c>
      <c r="K19" s="1320">
        <v>51</v>
      </c>
    </row>
    <row r="20" spans="1:11" ht="16.5" thickBot="1" x14ac:dyDescent="0.35">
      <c r="A20" s="1304" t="s">
        <v>402</v>
      </c>
      <c r="B20" s="1321">
        <v>77.260000000000005</v>
      </c>
      <c r="C20" s="1321">
        <v>66.900000000000006</v>
      </c>
      <c r="D20" s="1321">
        <v>60.21</v>
      </c>
      <c r="E20" s="1321">
        <v>53.27</v>
      </c>
      <c r="F20" s="1322">
        <v>44.96</v>
      </c>
      <c r="G20" s="1313">
        <v>80.040000000000006</v>
      </c>
      <c r="H20" s="1314">
        <v>66.930000000000007</v>
      </c>
      <c r="I20" s="1314">
        <v>56.8</v>
      </c>
      <c r="J20" s="1314">
        <v>50.78</v>
      </c>
      <c r="K20" s="1315">
        <v>45.29</v>
      </c>
    </row>
    <row r="21" spans="1:11" ht="26.25" thickBot="1" x14ac:dyDescent="0.35">
      <c r="A21" s="1304" t="s">
        <v>403</v>
      </c>
      <c r="B21" s="1311">
        <v>75.3</v>
      </c>
      <c r="C21" s="1311">
        <v>58.9</v>
      </c>
      <c r="D21" s="1311">
        <v>55.1</v>
      </c>
      <c r="E21" s="1311">
        <v>50.5</v>
      </c>
      <c r="F21" s="1312">
        <v>45.2</v>
      </c>
      <c r="G21" s="1313">
        <v>82</v>
      </c>
      <c r="H21" s="1314">
        <v>59.8</v>
      </c>
      <c r="I21" s="1314">
        <v>55.7</v>
      </c>
      <c r="J21" s="1314">
        <v>51.9</v>
      </c>
      <c r="K21" s="1315">
        <v>44.2</v>
      </c>
    </row>
    <row r="22" spans="1:11" ht="16.5" thickBot="1" x14ac:dyDescent="0.35">
      <c r="A22" s="1304" t="s">
        <v>404</v>
      </c>
      <c r="B22" s="1321"/>
      <c r="C22" s="1321"/>
      <c r="D22" s="1321"/>
      <c r="E22" s="1321"/>
      <c r="F22" s="1322"/>
      <c r="G22" s="1313"/>
      <c r="H22" s="1314"/>
      <c r="I22" s="1314"/>
      <c r="J22" s="1314"/>
      <c r="K22" s="1315"/>
    </row>
    <row r="23" spans="1:11" ht="16.5" thickBot="1" x14ac:dyDescent="0.35">
      <c r="A23" s="1305" t="s">
        <v>405</v>
      </c>
      <c r="B23" s="1317">
        <v>78.290000000000006</v>
      </c>
      <c r="C23" s="1317">
        <v>68.790000000000006</v>
      </c>
      <c r="D23" s="1317">
        <v>65.819999999999993</v>
      </c>
      <c r="E23" s="1317">
        <v>59.98</v>
      </c>
      <c r="F23" s="1328">
        <v>48.47</v>
      </c>
      <c r="G23" s="1318">
        <v>84.75</v>
      </c>
      <c r="H23" s="1319">
        <v>75.31</v>
      </c>
      <c r="I23" s="1319">
        <v>74.37</v>
      </c>
      <c r="J23" s="1319">
        <v>69.88</v>
      </c>
      <c r="K23" s="1320">
        <v>56.07</v>
      </c>
    </row>
    <row r="24" spans="1:11" ht="16.5" thickBot="1" x14ac:dyDescent="0.35">
      <c r="A24" s="1304" t="s">
        <v>406</v>
      </c>
      <c r="B24" s="1321">
        <v>46.2</v>
      </c>
      <c r="C24" s="1321">
        <v>29</v>
      </c>
      <c r="D24" s="1321">
        <v>24.6</v>
      </c>
      <c r="E24" s="1321">
        <v>20.2</v>
      </c>
      <c r="F24" s="1322">
        <v>18</v>
      </c>
      <c r="G24" s="1313">
        <v>56.5</v>
      </c>
      <c r="H24" s="1314">
        <v>45.1</v>
      </c>
      <c r="I24" s="1314">
        <v>41.4</v>
      </c>
      <c r="J24" s="1314">
        <v>33.9</v>
      </c>
      <c r="K24" s="1315">
        <v>29.2</v>
      </c>
    </row>
    <row r="25" spans="1:11" ht="26.25" thickBot="1" x14ac:dyDescent="0.35">
      <c r="A25" s="1305" t="s">
        <v>407</v>
      </c>
      <c r="B25" s="1317">
        <v>70.260000000000005</v>
      </c>
      <c r="C25" s="1317">
        <v>56.4</v>
      </c>
      <c r="D25" s="1317">
        <v>53.44</v>
      </c>
      <c r="E25" s="1317">
        <v>47.45</v>
      </c>
      <c r="F25" s="1328">
        <v>31.67</v>
      </c>
      <c r="G25" s="1318">
        <v>76.040000000000006</v>
      </c>
      <c r="H25" s="1319">
        <v>59.56</v>
      </c>
      <c r="I25" s="1319">
        <v>57.15</v>
      </c>
      <c r="J25" s="1319">
        <v>51.87</v>
      </c>
      <c r="K25" s="1320">
        <v>31.26</v>
      </c>
    </row>
    <row r="26" spans="1:11" ht="16.5" thickBot="1" x14ac:dyDescent="0.35">
      <c r="A26" s="1304" t="s">
        <v>408</v>
      </c>
      <c r="B26" s="1311">
        <v>83.33</v>
      </c>
      <c r="C26" s="1311">
        <v>74.06</v>
      </c>
      <c r="D26" s="1311">
        <v>61.85</v>
      </c>
      <c r="E26" s="1311">
        <v>59.96</v>
      </c>
      <c r="F26" s="1312">
        <v>54.76</v>
      </c>
      <c r="G26" s="1313">
        <v>88.11</v>
      </c>
      <c r="H26" s="1314">
        <v>79.56</v>
      </c>
      <c r="I26" s="1314">
        <v>75.02</v>
      </c>
      <c r="J26" s="1314">
        <v>70.599999999999994</v>
      </c>
      <c r="K26" s="1315">
        <v>65.69</v>
      </c>
    </row>
    <row r="27" spans="1:11" ht="16.5" thickBot="1" x14ac:dyDescent="0.35">
      <c r="A27" s="1306" t="s">
        <v>409</v>
      </c>
      <c r="B27" s="1323">
        <v>64.28</v>
      </c>
      <c r="C27" s="1323">
        <v>56.97</v>
      </c>
      <c r="D27" s="1323">
        <v>56.9</v>
      </c>
      <c r="E27" s="1323">
        <v>51.05</v>
      </c>
      <c r="F27" s="1324">
        <v>49.86</v>
      </c>
      <c r="G27" s="1325">
        <v>77.09</v>
      </c>
      <c r="H27" s="1326">
        <v>69.930000000000007</v>
      </c>
      <c r="I27" s="1326">
        <v>70.05</v>
      </c>
      <c r="J27" s="1326">
        <v>63.53</v>
      </c>
      <c r="K27" s="1327">
        <v>61.8</v>
      </c>
    </row>
  </sheetData>
  <mergeCells count="4">
    <mergeCell ref="A2:A3"/>
    <mergeCell ref="B2:F2"/>
    <mergeCell ref="G2:K2"/>
    <mergeCell ref="A1:K1"/>
  </mergeCells>
  <pageMargins left="0.25" right="0.25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BA16"/>
  <sheetViews>
    <sheetView topLeftCell="A7" workbookViewId="0">
      <pane xSplit="1" topLeftCell="AP1" activePane="topRight" state="frozen"/>
      <selection pane="topRight" activeCell="AW20" sqref="AW20"/>
    </sheetView>
  </sheetViews>
  <sheetFormatPr defaultRowHeight="14.25" x14ac:dyDescent="0.3"/>
  <cols>
    <col min="1" max="1" width="33.140625" style="9" bestFit="1" customWidth="1"/>
    <col min="2" max="2" width="9.28515625" style="9" bestFit="1" customWidth="1"/>
    <col min="3" max="3" width="11" style="9" bestFit="1" customWidth="1"/>
    <col min="4" max="5" width="8.5703125" style="9" bestFit="1" customWidth="1"/>
    <col min="6" max="6" width="9.28515625" style="9" bestFit="1" customWidth="1"/>
    <col min="7" max="7" width="11" style="9" bestFit="1" customWidth="1"/>
    <col min="8" max="8" width="11" style="9" customWidth="1"/>
    <col min="9" max="9" width="11" style="9" bestFit="1" customWidth="1"/>
    <col min="10" max="10" width="11" style="9" customWidth="1"/>
    <col min="11" max="16" width="8.5703125" style="9" bestFit="1" customWidth="1"/>
    <col min="17" max="18" width="11" style="9" customWidth="1"/>
    <col min="19" max="21" width="8.5703125" style="9" bestFit="1" customWidth="1"/>
    <col min="22" max="24" width="9" style="9" bestFit="1" customWidth="1"/>
    <col min="25" max="26" width="11" style="9" bestFit="1" customWidth="1"/>
    <col min="27" max="30" width="8.5703125" style="9" bestFit="1" customWidth="1"/>
    <col min="31" max="32" width="11" style="9" bestFit="1" customWidth="1"/>
    <col min="33" max="33" width="9" style="9" bestFit="1" customWidth="1"/>
    <col min="34" max="39" width="8.5703125" style="9" bestFit="1" customWidth="1"/>
    <col min="40" max="40" width="11" style="9" customWidth="1"/>
    <col min="41" max="42" width="11" style="9" bestFit="1" customWidth="1"/>
    <col min="43" max="45" width="8.5703125" style="9" bestFit="1" customWidth="1"/>
    <col min="46" max="49" width="11" style="9" bestFit="1" customWidth="1"/>
    <col min="50" max="50" width="11" style="9" customWidth="1"/>
    <col min="51" max="53" width="11" style="9" bestFit="1" customWidth="1"/>
    <col min="54" max="54" width="9.5703125" style="9" bestFit="1" customWidth="1"/>
    <col min="55" max="16384" width="9.140625" style="9"/>
  </cols>
  <sheetData>
    <row r="1" spans="1:53" x14ac:dyDescent="0.3">
      <c r="A1" s="1450" t="s">
        <v>108</v>
      </c>
      <c r="B1" s="1450"/>
      <c r="C1" s="1450"/>
      <c r="D1" s="1450"/>
      <c r="E1" s="1450"/>
      <c r="F1" s="1450"/>
      <c r="G1" s="1450"/>
      <c r="H1" s="1450"/>
      <c r="I1" s="1450"/>
      <c r="J1" s="1450"/>
      <c r="K1" s="1450"/>
      <c r="L1" s="1450"/>
      <c r="M1" s="1450"/>
      <c r="N1" s="1450"/>
      <c r="O1" s="1450"/>
      <c r="P1" s="1450"/>
      <c r="Q1" s="1450"/>
      <c r="R1" s="1450"/>
      <c r="S1" s="1450"/>
      <c r="T1" s="1450"/>
      <c r="U1" s="1450"/>
      <c r="V1" s="1450"/>
      <c r="W1" s="1450"/>
      <c r="X1" s="1450"/>
      <c r="Y1" s="1450"/>
      <c r="Z1" s="1450"/>
      <c r="AA1" s="1450"/>
      <c r="AB1" s="1450"/>
      <c r="AC1" s="1450"/>
      <c r="AD1" s="1450"/>
      <c r="AE1" s="1450"/>
      <c r="AF1" s="1450"/>
      <c r="AG1" s="1450"/>
      <c r="AH1" s="1450"/>
      <c r="AI1" s="1450"/>
      <c r="AJ1" s="1450"/>
      <c r="AK1" s="1450"/>
      <c r="AL1" s="1450"/>
      <c r="AM1" s="1450"/>
      <c r="AN1" s="1450"/>
      <c r="AO1" s="1450"/>
      <c r="AP1" s="1450"/>
      <c r="AQ1" s="1450"/>
      <c r="AR1" s="1450"/>
      <c r="AS1" s="1450"/>
      <c r="AT1" s="1450"/>
      <c r="AU1" s="1450"/>
      <c r="AV1" s="1450"/>
      <c r="AW1" s="1450"/>
      <c r="AX1" s="1450"/>
      <c r="AY1" s="1450"/>
      <c r="AZ1" s="1450"/>
      <c r="BA1" s="1450"/>
    </row>
    <row r="2" spans="1:53" ht="15" thickBot="1" x14ac:dyDescent="0.35">
      <c r="A2" s="1451" t="s">
        <v>442</v>
      </c>
      <c r="B2" s="1451"/>
      <c r="C2" s="1451"/>
      <c r="D2" s="1451"/>
      <c r="E2" s="1451"/>
      <c r="F2" s="1451"/>
      <c r="G2" s="1451"/>
      <c r="H2" s="1451"/>
      <c r="I2" s="1451"/>
      <c r="J2" s="1451"/>
      <c r="K2" s="1451"/>
      <c r="L2" s="1451"/>
      <c r="M2" s="1451"/>
      <c r="N2" s="1451"/>
      <c r="O2" s="1451"/>
      <c r="P2" s="1451"/>
      <c r="Q2" s="1451"/>
      <c r="R2" s="1451"/>
      <c r="S2" s="1451"/>
      <c r="T2" s="1451"/>
      <c r="U2" s="1451"/>
      <c r="V2" s="1451"/>
      <c r="W2" s="1451"/>
      <c r="X2" s="1451"/>
      <c r="Y2" s="1451"/>
      <c r="Z2" s="1451"/>
      <c r="AA2" s="1451"/>
      <c r="AB2" s="1451"/>
      <c r="AC2" s="1451"/>
      <c r="AD2" s="1451"/>
      <c r="AE2" s="1451"/>
      <c r="AF2" s="1451"/>
      <c r="AG2" s="1451"/>
      <c r="AH2" s="1451"/>
      <c r="AI2" s="1451"/>
      <c r="AJ2" s="1451"/>
      <c r="AK2" s="1451"/>
      <c r="AL2" s="1451"/>
      <c r="AM2" s="1451"/>
      <c r="AN2" s="1451"/>
      <c r="AO2" s="1451"/>
      <c r="AP2" s="1451"/>
      <c r="AQ2" s="1451"/>
      <c r="AR2" s="1451"/>
      <c r="AS2" s="1451"/>
      <c r="AT2" s="1451"/>
      <c r="AU2" s="1451"/>
      <c r="AV2" s="1451"/>
      <c r="AW2" s="1451"/>
      <c r="AX2" s="1451"/>
      <c r="AY2" s="1451"/>
      <c r="AZ2" s="1451"/>
      <c r="BA2" s="1451"/>
    </row>
    <row r="3" spans="1:53" ht="52.5" customHeight="1" thickBot="1" x14ac:dyDescent="0.35">
      <c r="A3" s="480" t="s">
        <v>109</v>
      </c>
      <c r="B3" s="1370" t="s">
        <v>158</v>
      </c>
      <c r="C3" s="1371"/>
      <c r="D3" s="1378" t="s">
        <v>159</v>
      </c>
      <c r="E3" s="1379"/>
      <c r="F3" s="1378" t="s">
        <v>160</v>
      </c>
      <c r="G3" s="1379"/>
      <c r="H3" s="1378" t="s">
        <v>161</v>
      </c>
      <c r="I3" s="1379"/>
      <c r="J3" s="1378" t="s">
        <v>162</v>
      </c>
      <c r="K3" s="1379"/>
      <c r="L3" s="1378" t="s">
        <v>163</v>
      </c>
      <c r="M3" s="1379"/>
      <c r="N3" s="1378" t="s">
        <v>312</v>
      </c>
      <c r="O3" s="1379"/>
      <c r="P3" s="1378" t="s">
        <v>164</v>
      </c>
      <c r="Q3" s="1379"/>
      <c r="R3" s="1378" t="s">
        <v>165</v>
      </c>
      <c r="S3" s="1379"/>
      <c r="T3" s="1378" t="s">
        <v>166</v>
      </c>
      <c r="U3" s="1379"/>
      <c r="V3" s="1378" t="s">
        <v>167</v>
      </c>
      <c r="W3" s="1379"/>
      <c r="X3" s="1378" t="s">
        <v>168</v>
      </c>
      <c r="Y3" s="1379"/>
      <c r="Z3" s="1378" t="s">
        <v>381</v>
      </c>
      <c r="AA3" s="1379"/>
      <c r="AB3" s="1378" t="s">
        <v>169</v>
      </c>
      <c r="AC3" s="1379"/>
      <c r="AD3" s="1452" t="s">
        <v>170</v>
      </c>
      <c r="AE3" s="1453"/>
      <c r="AF3" s="1378" t="s">
        <v>171</v>
      </c>
      <c r="AG3" s="1379"/>
      <c r="AH3" s="1378" t="s">
        <v>172</v>
      </c>
      <c r="AI3" s="1379"/>
      <c r="AJ3" s="1378" t="s">
        <v>173</v>
      </c>
      <c r="AK3" s="1379"/>
      <c r="AL3" s="1452" t="s">
        <v>174</v>
      </c>
      <c r="AM3" s="1453"/>
      <c r="AN3" s="1378" t="s">
        <v>175</v>
      </c>
      <c r="AO3" s="1379"/>
      <c r="AP3" s="1378" t="s">
        <v>176</v>
      </c>
      <c r="AQ3" s="1379"/>
      <c r="AR3" s="1378" t="s">
        <v>177</v>
      </c>
      <c r="AS3" s="1379"/>
      <c r="AT3" s="1378" t="s">
        <v>178</v>
      </c>
      <c r="AU3" s="1380"/>
      <c r="AV3" s="1381" t="s">
        <v>1</v>
      </c>
      <c r="AW3" s="1382"/>
      <c r="AX3" s="1452" t="s">
        <v>179</v>
      </c>
      <c r="AY3" s="1453"/>
      <c r="AZ3" s="1454" t="s">
        <v>2</v>
      </c>
      <c r="BA3" s="1455"/>
    </row>
    <row r="4" spans="1:53" s="485" customFormat="1" ht="54.75" thickBot="1" x14ac:dyDescent="0.3">
      <c r="A4" s="481"/>
      <c r="B4" s="482" t="s">
        <v>443</v>
      </c>
      <c r="C4" s="482" t="s">
        <v>424</v>
      </c>
      <c r="D4" s="482" t="s">
        <v>443</v>
      </c>
      <c r="E4" s="482" t="s">
        <v>424</v>
      </c>
      <c r="F4" s="482" t="s">
        <v>443</v>
      </c>
      <c r="G4" s="482" t="s">
        <v>424</v>
      </c>
      <c r="H4" s="482" t="s">
        <v>443</v>
      </c>
      <c r="I4" s="482" t="s">
        <v>424</v>
      </c>
      <c r="J4" s="482" t="s">
        <v>443</v>
      </c>
      <c r="K4" s="482" t="s">
        <v>424</v>
      </c>
      <c r="L4" s="482" t="s">
        <v>443</v>
      </c>
      <c r="M4" s="482" t="s">
        <v>424</v>
      </c>
      <c r="N4" s="482" t="s">
        <v>443</v>
      </c>
      <c r="O4" s="482" t="s">
        <v>424</v>
      </c>
      <c r="P4" s="482" t="s">
        <v>443</v>
      </c>
      <c r="Q4" s="482" t="s">
        <v>424</v>
      </c>
      <c r="R4" s="482" t="s">
        <v>443</v>
      </c>
      <c r="S4" s="482" t="s">
        <v>424</v>
      </c>
      <c r="T4" s="482" t="s">
        <v>443</v>
      </c>
      <c r="U4" s="482" t="s">
        <v>424</v>
      </c>
      <c r="V4" s="482" t="s">
        <v>443</v>
      </c>
      <c r="W4" s="482" t="s">
        <v>424</v>
      </c>
      <c r="X4" s="482" t="s">
        <v>443</v>
      </c>
      <c r="Y4" s="482" t="s">
        <v>424</v>
      </c>
      <c r="Z4" s="482" t="s">
        <v>443</v>
      </c>
      <c r="AA4" s="482" t="s">
        <v>424</v>
      </c>
      <c r="AB4" s="482" t="s">
        <v>443</v>
      </c>
      <c r="AC4" s="482" t="s">
        <v>424</v>
      </c>
      <c r="AD4" s="482" t="s">
        <v>443</v>
      </c>
      <c r="AE4" s="482" t="s">
        <v>424</v>
      </c>
      <c r="AF4" s="482" t="s">
        <v>443</v>
      </c>
      <c r="AG4" s="482" t="s">
        <v>424</v>
      </c>
      <c r="AH4" s="482" t="s">
        <v>443</v>
      </c>
      <c r="AI4" s="482" t="s">
        <v>424</v>
      </c>
      <c r="AJ4" s="482" t="s">
        <v>443</v>
      </c>
      <c r="AK4" s="482" t="s">
        <v>424</v>
      </c>
      <c r="AL4" s="482" t="s">
        <v>443</v>
      </c>
      <c r="AM4" s="482" t="s">
        <v>424</v>
      </c>
      <c r="AN4" s="482" t="s">
        <v>443</v>
      </c>
      <c r="AO4" s="482" t="s">
        <v>424</v>
      </c>
      <c r="AP4" s="482" t="s">
        <v>443</v>
      </c>
      <c r="AQ4" s="482" t="s">
        <v>424</v>
      </c>
      <c r="AR4" s="482" t="s">
        <v>443</v>
      </c>
      <c r="AS4" s="482" t="s">
        <v>424</v>
      </c>
      <c r="AT4" s="482" t="s">
        <v>443</v>
      </c>
      <c r="AU4" s="482" t="s">
        <v>424</v>
      </c>
      <c r="AV4" s="482" t="s">
        <v>443</v>
      </c>
      <c r="AW4" s="482" t="s">
        <v>424</v>
      </c>
      <c r="AX4" s="482" t="s">
        <v>443</v>
      </c>
      <c r="AY4" s="482" t="s">
        <v>424</v>
      </c>
      <c r="AZ4" s="482" t="s">
        <v>443</v>
      </c>
      <c r="BA4" s="484" t="s">
        <v>424</v>
      </c>
    </row>
    <row r="5" spans="1:53" s="33" customFormat="1" x14ac:dyDescent="0.3">
      <c r="A5" s="306" t="s">
        <v>110</v>
      </c>
      <c r="B5" s="1258">
        <v>6757034</v>
      </c>
      <c r="C5" s="1018">
        <v>5842766</v>
      </c>
      <c r="D5" s="317">
        <v>374515</v>
      </c>
      <c r="E5" s="310">
        <v>362805</v>
      </c>
      <c r="F5" s="310">
        <v>1202087</v>
      </c>
      <c r="G5" s="310">
        <v>1134174</v>
      </c>
      <c r="H5" s="310">
        <v>7833167</v>
      </c>
      <c r="I5" s="310">
        <v>7272960</v>
      </c>
      <c r="J5" s="310">
        <v>129590741</v>
      </c>
      <c r="K5" s="310">
        <v>1103959</v>
      </c>
      <c r="L5" s="310">
        <v>2914554</v>
      </c>
      <c r="M5" s="310">
        <v>2523195</v>
      </c>
      <c r="N5" s="310">
        <v>664851</v>
      </c>
      <c r="O5" s="310">
        <v>549107</v>
      </c>
      <c r="P5" s="310">
        <v>631925</v>
      </c>
      <c r="Q5" s="310">
        <v>523065</v>
      </c>
      <c r="R5" s="310"/>
      <c r="S5" s="310">
        <v>1926564</v>
      </c>
      <c r="T5" s="310">
        <v>706623</v>
      </c>
      <c r="U5" s="310">
        <v>606934</v>
      </c>
      <c r="V5" s="310">
        <v>22352671</v>
      </c>
      <c r="W5" s="310">
        <v>18576878</v>
      </c>
      <c r="X5" s="310">
        <v>24155794</v>
      </c>
      <c r="Y5" s="310">
        <v>23014517</v>
      </c>
      <c r="Z5" s="310">
        <v>1436632</v>
      </c>
      <c r="AA5" s="314">
        <v>1320510</v>
      </c>
      <c r="AB5" s="314">
        <v>2107806</v>
      </c>
      <c r="AC5" s="310">
        <v>1861203</v>
      </c>
      <c r="AD5" s="310">
        <v>5787570</v>
      </c>
      <c r="AE5" s="310">
        <v>5059741</v>
      </c>
      <c r="AF5" s="310">
        <v>11964971</v>
      </c>
      <c r="AG5" s="310">
        <v>10429082</v>
      </c>
      <c r="AH5" s="310">
        <v>3799550</v>
      </c>
      <c r="AI5" s="310">
        <v>3250391</v>
      </c>
      <c r="AJ5" s="310">
        <v>2937070</v>
      </c>
      <c r="AK5" s="310">
        <v>2635806</v>
      </c>
      <c r="AL5" s="310"/>
      <c r="AM5" s="307"/>
      <c r="AN5" s="1022">
        <v>29438753</v>
      </c>
      <c r="AO5" s="306">
        <v>25323411</v>
      </c>
      <c r="AP5" s="306">
        <v>866413</v>
      </c>
      <c r="AQ5" s="302">
        <v>723625</v>
      </c>
      <c r="AR5" s="302">
        <v>1849463</v>
      </c>
      <c r="AS5" s="300">
        <v>1439962</v>
      </c>
      <c r="AT5" s="300">
        <v>6632226</v>
      </c>
      <c r="AU5" s="310">
        <v>5446142</v>
      </c>
      <c r="AV5" s="294">
        <f t="shared" ref="AV5:AW15" si="0">SUM(B5+D5+F5+H5+J5+L5+N5+P5+R5+T5+V5+X5+Z5+AB5+AD5+AF5+AH5+AJ5+AL5+AN5+AP5+AR5+AT5)</f>
        <v>264004416</v>
      </c>
      <c r="AW5" s="50">
        <f t="shared" si="0"/>
        <v>120926797</v>
      </c>
      <c r="AX5" s="50">
        <v>410176710</v>
      </c>
      <c r="AY5" s="298">
        <v>375656631</v>
      </c>
      <c r="AZ5" s="300">
        <f t="shared" ref="AZ5:BA15" si="1">AV5+AX5</f>
        <v>674181126</v>
      </c>
      <c r="BA5" s="321">
        <f t="shared" si="1"/>
        <v>496583428</v>
      </c>
    </row>
    <row r="6" spans="1:53" s="33" customFormat="1" x14ac:dyDescent="0.3">
      <c r="A6" s="306" t="s">
        <v>111</v>
      </c>
      <c r="B6" s="428"/>
      <c r="C6" s="185"/>
      <c r="D6" s="318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15"/>
      <c r="AB6" s="315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8"/>
      <c r="AN6" s="308"/>
      <c r="AO6" s="304"/>
      <c r="AP6" s="304"/>
      <c r="AQ6" s="303"/>
      <c r="AR6" s="303"/>
      <c r="AS6" s="248"/>
      <c r="AT6" s="248"/>
      <c r="AU6" s="304"/>
      <c r="AV6" s="294">
        <f t="shared" si="0"/>
        <v>0</v>
      </c>
      <c r="AW6" s="296">
        <f t="shared" si="0"/>
        <v>0</v>
      </c>
      <c r="AX6" s="296"/>
      <c r="AY6" s="287"/>
      <c r="AZ6" s="300">
        <f t="shared" si="1"/>
        <v>0</v>
      </c>
      <c r="BA6" s="295">
        <f t="shared" si="1"/>
        <v>0</v>
      </c>
    </row>
    <row r="7" spans="1:53" s="33" customFormat="1" x14ac:dyDescent="0.3">
      <c r="A7" s="306" t="s">
        <v>112</v>
      </c>
      <c r="B7" s="428">
        <v>6755309</v>
      </c>
      <c r="C7" s="184">
        <v>5840035</v>
      </c>
      <c r="D7" s="319">
        <v>364835</v>
      </c>
      <c r="E7" s="311">
        <v>329503</v>
      </c>
      <c r="F7" s="311">
        <v>1176106</v>
      </c>
      <c r="G7" s="311">
        <v>1106834</v>
      </c>
      <c r="H7" s="311">
        <v>7724195</v>
      </c>
      <c r="I7" s="311">
        <v>7175457</v>
      </c>
      <c r="J7" s="311">
        <v>125557263</v>
      </c>
      <c r="K7" s="311">
        <v>1070517</v>
      </c>
      <c r="L7" s="311">
        <v>2854878</v>
      </c>
      <c r="M7" s="311">
        <v>2461780</v>
      </c>
      <c r="N7" s="311">
        <v>641068</v>
      </c>
      <c r="O7" s="311">
        <v>538548</v>
      </c>
      <c r="P7" s="311">
        <v>630182</v>
      </c>
      <c r="Q7" s="311">
        <v>520749</v>
      </c>
      <c r="R7" s="311"/>
      <c r="S7" s="311">
        <v>1892080</v>
      </c>
      <c r="T7" s="311">
        <v>677441</v>
      </c>
      <c r="U7" s="311">
        <v>577876</v>
      </c>
      <c r="V7" s="311">
        <v>22247102</v>
      </c>
      <c r="W7" s="311">
        <v>18496405</v>
      </c>
      <c r="X7" s="311">
        <v>23436541</v>
      </c>
      <c r="Y7" s="311">
        <v>22454845</v>
      </c>
      <c r="Z7" s="311">
        <v>1391324</v>
      </c>
      <c r="AA7" s="315">
        <v>1288298</v>
      </c>
      <c r="AB7" s="315">
        <v>2023984</v>
      </c>
      <c r="AC7" s="311">
        <v>1800199</v>
      </c>
      <c r="AD7" s="311">
        <v>5757168</v>
      </c>
      <c r="AE7" s="313">
        <v>5036145</v>
      </c>
      <c r="AF7" s="313">
        <v>11578565</v>
      </c>
      <c r="AG7" s="311">
        <v>10072538</v>
      </c>
      <c r="AH7" s="311">
        <v>3720955</v>
      </c>
      <c r="AI7" s="311">
        <v>3169810</v>
      </c>
      <c r="AJ7" s="311">
        <v>2896468</v>
      </c>
      <c r="AK7" s="311">
        <v>2596681</v>
      </c>
      <c r="AL7" s="311"/>
      <c r="AM7" s="308"/>
      <c r="AN7" s="1022">
        <v>29338744</v>
      </c>
      <c r="AO7" s="306">
        <v>25238435</v>
      </c>
      <c r="AP7" s="306">
        <v>860141</v>
      </c>
      <c r="AQ7" s="303">
        <v>721385</v>
      </c>
      <c r="AR7" s="303">
        <v>1785964</v>
      </c>
      <c r="AS7" s="248">
        <v>1387748</v>
      </c>
      <c r="AT7" s="248">
        <v>6529313</v>
      </c>
      <c r="AU7" s="311">
        <v>5340416</v>
      </c>
      <c r="AV7" s="294">
        <f t="shared" si="0"/>
        <v>257947546</v>
      </c>
      <c r="AW7" s="296">
        <f t="shared" si="0"/>
        <v>119116284</v>
      </c>
      <c r="AX7" s="296">
        <v>390732499</v>
      </c>
      <c r="AY7" s="296">
        <v>355895080</v>
      </c>
      <c r="AZ7" s="300">
        <f t="shared" si="1"/>
        <v>648680045</v>
      </c>
      <c r="BA7" s="295">
        <f t="shared" si="1"/>
        <v>475011364</v>
      </c>
    </row>
    <row r="8" spans="1:53" s="33" customFormat="1" x14ac:dyDescent="0.3">
      <c r="A8" s="306" t="s">
        <v>113</v>
      </c>
      <c r="B8" s="428"/>
      <c r="C8" s="185"/>
      <c r="D8" s="318"/>
      <c r="E8" s="304"/>
      <c r="F8" s="304">
        <v>20108</v>
      </c>
      <c r="G8" s="304">
        <v>21024</v>
      </c>
      <c r="H8" s="304"/>
      <c r="I8" s="304"/>
      <c r="J8" s="304">
        <v>1917820</v>
      </c>
      <c r="K8" s="304">
        <v>19557</v>
      </c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>
        <v>556872</v>
      </c>
      <c r="Y8" s="304">
        <v>427347</v>
      </c>
      <c r="Z8" s="304"/>
      <c r="AA8" s="304"/>
      <c r="AB8" s="304">
        <v>54680</v>
      </c>
      <c r="AC8" s="304">
        <v>33580</v>
      </c>
      <c r="AD8" s="304"/>
      <c r="AE8" s="304"/>
      <c r="AF8" s="304"/>
      <c r="AG8" s="304"/>
      <c r="AH8" s="304"/>
      <c r="AI8" s="304"/>
      <c r="AJ8" s="304"/>
      <c r="AK8" s="304"/>
      <c r="AL8" s="304"/>
      <c r="AM8" s="308"/>
      <c r="AN8" s="308"/>
      <c r="AO8" s="238"/>
      <c r="AP8" s="238"/>
      <c r="AQ8" s="303"/>
      <c r="AR8" s="303">
        <v>36713</v>
      </c>
      <c r="AS8" s="248">
        <v>23468</v>
      </c>
      <c r="AT8" s="248"/>
      <c r="AU8" s="304"/>
      <c r="AV8" s="294">
        <f t="shared" si="0"/>
        <v>2586193</v>
      </c>
      <c r="AW8" s="296">
        <f t="shared" si="0"/>
        <v>524976</v>
      </c>
      <c r="AX8" s="296">
        <v>15169</v>
      </c>
      <c r="AY8" s="287">
        <v>24057</v>
      </c>
      <c r="AZ8" s="300">
        <f t="shared" si="1"/>
        <v>2601362</v>
      </c>
      <c r="BA8" s="295">
        <f t="shared" si="1"/>
        <v>549033</v>
      </c>
    </row>
    <row r="9" spans="1:53" s="33" customFormat="1" x14ac:dyDescent="0.3">
      <c r="A9" s="1017" t="s">
        <v>181</v>
      </c>
      <c r="B9" s="427">
        <v>1724</v>
      </c>
      <c r="C9" s="185">
        <v>2731</v>
      </c>
      <c r="D9" s="318">
        <v>9680</v>
      </c>
      <c r="E9" s="304">
        <v>33302</v>
      </c>
      <c r="F9" s="304">
        <v>5872</v>
      </c>
      <c r="G9" s="304">
        <v>6316</v>
      </c>
      <c r="H9" s="304">
        <v>108972</v>
      </c>
      <c r="I9" s="304">
        <v>97503</v>
      </c>
      <c r="J9" s="304">
        <v>2115658</v>
      </c>
      <c r="K9" s="304">
        <v>13885</v>
      </c>
      <c r="L9" s="304">
        <v>59676</v>
      </c>
      <c r="M9" s="304">
        <v>61416</v>
      </c>
      <c r="N9" s="304">
        <v>23784</v>
      </c>
      <c r="O9" s="304">
        <v>101560</v>
      </c>
      <c r="P9" s="304">
        <v>1743</v>
      </c>
      <c r="Q9" s="304">
        <v>2316</v>
      </c>
      <c r="R9" s="304"/>
      <c r="S9" s="304">
        <v>34485</v>
      </c>
      <c r="T9" s="304">
        <v>29182</v>
      </c>
      <c r="U9" s="304"/>
      <c r="V9" s="304">
        <v>105569</v>
      </c>
      <c r="W9" s="304">
        <v>80473</v>
      </c>
      <c r="X9" s="304">
        <v>162380</v>
      </c>
      <c r="Y9" s="304">
        <v>132325</v>
      </c>
      <c r="Z9" s="304">
        <v>45308</v>
      </c>
      <c r="AA9" s="304">
        <v>32211</v>
      </c>
      <c r="AB9" s="304">
        <v>27142</v>
      </c>
      <c r="AC9" s="304">
        <v>27424</v>
      </c>
      <c r="AD9" s="304">
        <v>30402</v>
      </c>
      <c r="AE9" s="304">
        <v>23596</v>
      </c>
      <c r="AF9" s="304">
        <v>386406</v>
      </c>
      <c r="AG9" s="304">
        <v>256545</v>
      </c>
      <c r="AH9" s="304">
        <v>78595</v>
      </c>
      <c r="AI9" s="304">
        <v>80581</v>
      </c>
      <c r="AJ9" s="304">
        <v>40602</v>
      </c>
      <c r="AK9" s="304">
        <v>39124</v>
      </c>
      <c r="AL9" s="304"/>
      <c r="AM9" s="308"/>
      <c r="AN9" s="1022">
        <v>100009</v>
      </c>
      <c r="AO9" s="306">
        <v>84977</v>
      </c>
      <c r="AP9" s="306">
        <v>6273</v>
      </c>
      <c r="AQ9" s="303">
        <v>2240</v>
      </c>
      <c r="AR9" s="303">
        <v>26786</v>
      </c>
      <c r="AS9" s="248">
        <v>28746</v>
      </c>
      <c r="AT9" s="248">
        <v>102913</v>
      </c>
      <c r="AU9" s="304">
        <v>105726</v>
      </c>
      <c r="AV9" s="294">
        <f t="shared" si="0"/>
        <v>3468676</v>
      </c>
      <c r="AW9" s="296">
        <f t="shared" si="0"/>
        <v>1247482</v>
      </c>
      <c r="AX9" s="296">
        <v>19429042</v>
      </c>
      <c r="AY9" s="287">
        <v>19737495</v>
      </c>
      <c r="AZ9" s="300">
        <f t="shared" si="1"/>
        <v>22897718</v>
      </c>
      <c r="BA9" s="295">
        <f t="shared" si="1"/>
        <v>20984977</v>
      </c>
    </row>
    <row r="10" spans="1:53" s="33" customFormat="1" x14ac:dyDescent="0.3">
      <c r="A10" s="306" t="s">
        <v>114</v>
      </c>
      <c r="B10" s="428">
        <v>327236</v>
      </c>
      <c r="C10" s="185">
        <v>287766</v>
      </c>
      <c r="D10" s="318">
        <v>33438</v>
      </c>
      <c r="E10" s="304">
        <v>17091</v>
      </c>
      <c r="F10" s="304">
        <v>59669</v>
      </c>
      <c r="G10" s="304">
        <v>53436</v>
      </c>
      <c r="H10" s="304">
        <v>1051893</v>
      </c>
      <c r="I10" s="304">
        <v>1044485</v>
      </c>
      <c r="J10" s="304">
        <v>7415957</v>
      </c>
      <c r="K10" s="304">
        <v>72567</v>
      </c>
      <c r="L10" s="304">
        <v>135307</v>
      </c>
      <c r="M10" s="304">
        <v>127966</v>
      </c>
      <c r="N10" s="304">
        <v>73602</v>
      </c>
      <c r="O10" s="304">
        <v>78876</v>
      </c>
      <c r="P10" s="304">
        <v>45357</v>
      </c>
      <c r="Q10" s="304">
        <v>36300</v>
      </c>
      <c r="R10" s="304"/>
      <c r="S10" s="304">
        <v>118723</v>
      </c>
      <c r="T10" s="304">
        <v>21737</v>
      </c>
      <c r="U10" s="304"/>
      <c r="V10" s="304">
        <v>1360298</v>
      </c>
      <c r="W10" s="304">
        <v>896055</v>
      </c>
      <c r="X10" s="304">
        <v>1060388</v>
      </c>
      <c r="Y10" s="304">
        <v>1065939</v>
      </c>
      <c r="Z10" s="304">
        <v>83212</v>
      </c>
      <c r="AA10" s="315">
        <v>81962</v>
      </c>
      <c r="AB10" s="315">
        <v>134767</v>
      </c>
      <c r="AC10" s="304">
        <v>112028</v>
      </c>
      <c r="AD10" s="304">
        <v>532770</v>
      </c>
      <c r="AE10" s="304">
        <v>438920</v>
      </c>
      <c r="AF10" s="304">
        <v>361866</v>
      </c>
      <c r="AG10" s="304">
        <v>697098</v>
      </c>
      <c r="AH10" s="304">
        <v>187585</v>
      </c>
      <c r="AI10" s="304">
        <v>175849</v>
      </c>
      <c r="AJ10" s="304">
        <v>150843</v>
      </c>
      <c r="AK10" s="304">
        <v>139837</v>
      </c>
      <c r="AL10" s="304"/>
      <c r="AM10" s="308"/>
      <c r="AN10" s="1022">
        <v>1283163</v>
      </c>
      <c r="AO10" s="306">
        <v>1132293</v>
      </c>
      <c r="AP10" s="306">
        <v>75699</v>
      </c>
      <c r="AQ10" s="303">
        <v>66824</v>
      </c>
      <c r="AR10" s="303">
        <v>118294</v>
      </c>
      <c r="AS10" s="248">
        <v>83485</v>
      </c>
      <c r="AT10" s="248">
        <v>374589</v>
      </c>
      <c r="AU10" s="304">
        <v>275215</v>
      </c>
      <c r="AV10" s="294">
        <f t="shared" si="0"/>
        <v>14887670</v>
      </c>
      <c r="AW10" s="296">
        <f t="shared" si="0"/>
        <v>7002715</v>
      </c>
      <c r="AX10" s="296">
        <v>4439679</v>
      </c>
      <c r="AY10" s="270">
        <v>816774</v>
      </c>
      <c r="AZ10" s="300">
        <f t="shared" si="1"/>
        <v>19327349</v>
      </c>
      <c r="BA10" s="295">
        <f t="shared" si="1"/>
        <v>7819489</v>
      </c>
    </row>
    <row r="11" spans="1:53" s="33" customFormat="1" x14ac:dyDescent="0.3">
      <c r="A11" s="306" t="s">
        <v>111</v>
      </c>
      <c r="B11" s="428"/>
      <c r="C11" s="185"/>
      <c r="D11" s="318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15"/>
      <c r="AB11" s="315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8"/>
      <c r="AN11" s="308"/>
      <c r="AO11" s="238"/>
      <c r="AP11" s="238"/>
      <c r="AQ11" s="303"/>
      <c r="AR11" s="303"/>
      <c r="AS11" s="248"/>
      <c r="AT11" s="248"/>
      <c r="AU11" s="304"/>
      <c r="AV11" s="294">
        <f t="shared" si="0"/>
        <v>0</v>
      </c>
      <c r="AW11" s="296">
        <f t="shared" si="0"/>
        <v>0</v>
      </c>
      <c r="AX11" s="296"/>
      <c r="AY11" s="270"/>
      <c r="AZ11" s="300">
        <f t="shared" si="1"/>
        <v>0</v>
      </c>
      <c r="BA11" s="295">
        <f t="shared" si="1"/>
        <v>0</v>
      </c>
    </row>
    <row r="12" spans="1:53" s="33" customFormat="1" x14ac:dyDescent="0.3">
      <c r="A12" s="306" t="s">
        <v>115</v>
      </c>
      <c r="B12" s="428"/>
      <c r="C12" s="185"/>
      <c r="D12" s="318"/>
      <c r="E12" s="304"/>
      <c r="F12" s="304">
        <v>56</v>
      </c>
      <c r="G12" s="304">
        <v>480</v>
      </c>
      <c r="H12" s="304">
        <v>29516</v>
      </c>
      <c r="I12" s="304">
        <v>29717</v>
      </c>
      <c r="J12" s="304">
        <v>2159131</v>
      </c>
      <c r="K12" s="304">
        <v>23152</v>
      </c>
      <c r="L12" s="304"/>
      <c r="M12" s="304"/>
      <c r="N12" s="304"/>
      <c r="O12" s="304"/>
      <c r="P12" s="304"/>
      <c r="Q12" s="304"/>
      <c r="R12" s="304"/>
      <c r="S12" s="304"/>
      <c r="T12" s="304"/>
      <c r="U12" s="304">
        <v>29057</v>
      </c>
      <c r="V12" s="304"/>
      <c r="W12" s="304"/>
      <c r="X12" s="304">
        <v>11952</v>
      </c>
      <c r="Y12" s="304">
        <v>97647</v>
      </c>
      <c r="Z12" s="304"/>
      <c r="AA12" s="315"/>
      <c r="AB12" s="315">
        <v>22675</v>
      </c>
      <c r="AC12" s="304">
        <v>42881</v>
      </c>
      <c r="AD12" s="304"/>
      <c r="AE12" s="304"/>
      <c r="AF12" s="304"/>
      <c r="AG12" s="304">
        <v>372144</v>
      </c>
      <c r="AH12" s="304"/>
      <c r="AI12" s="304"/>
      <c r="AJ12" s="269"/>
      <c r="AK12" s="269"/>
      <c r="AL12" s="269"/>
      <c r="AM12" s="308"/>
      <c r="AN12" s="308"/>
      <c r="AO12" s="238"/>
      <c r="AP12" s="238"/>
      <c r="AQ12" s="303"/>
      <c r="AR12" s="303">
        <v>976</v>
      </c>
      <c r="AS12" s="248">
        <v>338</v>
      </c>
      <c r="AT12" s="248"/>
      <c r="AU12" s="304"/>
      <c r="AV12" s="294">
        <f t="shared" si="0"/>
        <v>2224306</v>
      </c>
      <c r="AW12" s="296">
        <f>SUM(C12+E12+G12+I12+K12+M12+O12+Q12+S12+U12+W12+Y12+AA12+AC12+AE12+AG12+AI12+AK13+AM12+AO12+AQ12+AS12+AU12)</f>
        <v>735253</v>
      </c>
      <c r="AX12" s="296"/>
      <c r="AY12" s="270"/>
      <c r="AZ12" s="300">
        <f t="shared" si="1"/>
        <v>2224306</v>
      </c>
      <c r="BA12" s="295">
        <f t="shared" si="1"/>
        <v>735253</v>
      </c>
    </row>
    <row r="13" spans="1:53" s="33" customFormat="1" x14ac:dyDescent="0.3">
      <c r="A13" s="1017" t="s">
        <v>182</v>
      </c>
      <c r="B13" s="427">
        <v>327236</v>
      </c>
      <c r="C13" s="185">
        <v>287766</v>
      </c>
      <c r="D13" s="318">
        <v>33438</v>
      </c>
      <c r="E13" s="304">
        <v>17091</v>
      </c>
      <c r="F13" s="304">
        <v>59613</v>
      </c>
      <c r="G13" s="304">
        <v>52272</v>
      </c>
      <c r="H13" s="304">
        <v>1022377</v>
      </c>
      <c r="I13" s="304">
        <v>1014768</v>
      </c>
      <c r="J13" s="304">
        <v>5256826</v>
      </c>
      <c r="K13" s="304">
        <v>49415</v>
      </c>
      <c r="L13" s="304">
        <v>135307</v>
      </c>
      <c r="M13" s="304">
        <v>127966</v>
      </c>
      <c r="N13" s="304">
        <v>73602</v>
      </c>
      <c r="O13" s="304">
        <v>78876</v>
      </c>
      <c r="P13" s="304">
        <v>45357</v>
      </c>
      <c r="Q13" s="304">
        <v>36300</v>
      </c>
      <c r="R13" s="304"/>
      <c r="S13" s="304">
        <v>118723</v>
      </c>
      <c r="T13" s="304">
        <v>21737</v>
      </c>
      <c r="U13" s="304">
        <v>11452</v>
      </c>
      <c r="V13" s="304">
        <v>1360298</v>
      </c>
      <c r="W13" s="304">
        <v>896055</v>
      </c>
      <c r="X13" s="304">
        <v>1048436</v>
      </c>
      <c r="Y13" s="304">
        <v>968292</v>
      </c>
      <c r="Z13" s="304">
        <v>83212</v>
      </c>
      <c r="AA13" s="315">
        <v>81962</v>
      </c>
      <c r="AB13" s="315">
        <v>112092</v>
      </c>
      <c r="AC13" s="304">
        <v>69147</v>
      </c>
      <c r="AD13" s="304">
        <v>532770</v>
      </c>
      <c r="AE13" s="304">
        <v>438920</v>
      </c>
      <c r="AF13" s="304">
        <v>361866</v>
      </c>
      <c r="AG13" s="304">
        <v>324954</v>
      </c>
      <c r="AH13" s="304">
        <v>187585</v>
      </c>
      <c r="AI13" s="304">
        <v>175849</v>
      </c>
      <c r="AJ13" s="304">
        <v>150843</v>
      </c>
      <c r="AK13" s="304">
        <v>139837</v>
      </c>
      <c r="AL13" s="304"/>
      <c r="AM13" s="308"/>
      <c r="AN13" s="1022">
        <v>1283163</v>
      </c>
      <c r="AO13" s="306">
        <v>1132293</v>
      </c>
      <c r="AP13" s="306">
        <v>75699</v>
      </c>
      <c r="AQ13" s="303">
        <v>66824</v>
      </c>
      <c r="AR13" s="303">
        <v>117319</v>
      </c>
      <c r="AS13" s="248">
        <v>83147</v>
      </c>
      <c r="AT13" s="248">
        <v>374589</v>
      </c>
      <c r="AU13" s="304">
        <v>275215</v>
      </c>
      <c r="AV13" s="294">
        <f t="shared" si="0"/>
        <v>12663365</v>
      </c>
      <c r="AW13" s="296">
        <f>SUM(C13+E13+G13+I13+K13+M13+O13+Q13+S13+U13+W13+Y13+AA13+AC13+AE13+AG13+AI13+AK13+AM13+AO13+AQ13+AS13+AU13)</f>
        <v>6447124</v>
      </c>
      <c r="AX13" s="296">
        <v>4439679</v>
      </c>
      <c r="AY13" s="287">
        <v>816774</v>
      </c>
      <c r="AZ13" s="300">
        <f t="shared" si="1"/>
        <v>17103044</v>
      </c>
      <c r="BA13" s="295">
        <f t="shared" si="1"/>
        <v>7263898</v>
      </c>
    </row>
    <row r="14" spans="1:53" s="33" customFormat="1" x14ac:dyDescent="0.3">
      <c r="A14" s="306" t="s">
        <v>116</v>
      </c>
      <c r="B14" s="428">
        <v>328960</v>
      </c>
      <c r="C14" s="1019">
        <f>C9+C10</f>
        <v>290497</v>
      </c>
      <c r="D14" s="304">
        <v>43118</v>
      </c>
      <c r="E14" s="304">
        <v>50392</v>
      </c>
      <c r="F14" s="304">
        <v>65485</v>
      </c>
      <c r="G14" s="304">
        <v>59272</v>
      </c>
      <c r="H14" s="304">
        <v>1131349</v>
      </c>
      <c r="I14" s="304">
        <v>1112271</v>
      </c>
      <c r="J14" s="304">
        <v>7372484</v>
      </c>
      <c r="K14" s="304">
        <v>63301</v>
      </c>
      <c r="L14" s="304">
        <v>194983</v>
      </c>
      <c r="M14" s="304">
        <f>M9+M10</f>
        <v>189382</v>
      </c>
      <c r="N14" s="304">
        <v>97386</v>
      </c>
      <c r="O14" s="304">
        <v>89435</v>
      </c>
      <c r="P14" s="304">
        <v>47100</v>
      </c>
      <c r="Q14" s="304">
        <v>38616</v>
      </c>
      <c r="R14" s="304"/>
      <c r="S14" s="304">
        <f>S9+S10</f>
        <v>153208</v>
      </c>
      <c r="T14" s="304">
        <v>50919</v>
      </c>
      <c r="U14" s="304">
        <v>40510</v>
      </c>
      <c r="V14" s="304">
        <v>1465867</v>
      </c>
      <c r="W14" s="304">
        <f>W9+W10</f>
        <v>976528</v>
      </c>
      <c r="X14" s="304">
        <v>1210817</v>
      </c>
      <c r="Y14" s="304">
        <v>1100617</v>
      </c>
      <c r="Z14" s="304">
        <v>128520</v>
      </c>
      <c r="AA14" s="304">
        <f>AA9+AA10</f>
        <v>114173</v>
      </c>
      <c r="AB14" s="304">
        <v>141234</v>
      </c>
      <c r="AC14" s="304">
        <v>96571</v>
      </c>
      <c r="AD14" s="304">
        <v>563172</v>
      </c>
      <c r="AE14" s="304">
        <v>462517</v>
      </c>
      <c r="AF14" s="304">
        <v>748272</v>
      </c>
      <c r="AG14" s="304">
        <v>681499</v>
      </c>
      <c r="AH14" s="304">
        <v>266180</v>
      </c>
      <c r="AI14" s="304">
        <f t="shared" ref="AI14:AU14" si="2">AI9+AI10</f>
        <v>256430</v>
      </c>
      <c r="AJ14" s="304">
        <v>191445</v>
      </c>
      <c r="AK14" s="304">
        <f t="shared" si="2"/>
        <v>178961</v>
      </c>
      <c r="AL14" s="304"/>
      <c r="AM14" s="304">
        <f t="shared" si="2"/>
        <v>0</v>
      </c>
      <c r="AN14" s="304">
        <v>1383173</v>
      </c>
      <c r="AO14" s="304">
        <f t="shared" si="2"/>
        <v>1217270</v>
      </c>
      <c r="AP14" s="304">
        <v>81972</v>
      </c>
      <c r="AQ14" s="304">
        <f t="shared" si="2"/>
        <v>69064</v>
      </c>
      <c r="AR14" s="304">
        <v>144104</v>
      </c>
      <c r="AS14" s="304">
        <f t="shared" si="2"/>
        <v>112231</v>
      </c>
      <c r="AT14" s="304">
        <v>477502</v>
      </c>
      <c r="AU14" s="304">
        <f t="shared" si="2"/>
        <v>380941</v>
      </c>
      <c r="AV14" s="294">
        <f t="shared" si="0"/>
        <v>16134042</v>
      </c>
      <c r="AW14" s="296">
        <f>SUM(C14+E14+G14+I14+K14+M14+O14+Q14+S14+U14+W14+Y14+AA14+AC14+AE14+AG14+AI14+AK14+AM14+AO14+AQ14+AS14+AU14)</f>
        <v>7733686</v>
      </c>
      <c r="AX14" s="296">
        <v>23868721</v>
      </c>
      <c r="AY14" s="270">
        <v>20554269</v>
      </c>
      <c r="AZ14" s="300">
        <f t="shared" si="1"/>
        <v>40002763</v>
      </c>
      <c r="BA14" s="295">
        <f t="shared" si="1"/>
        <v>28287955</v>
      </c>
    </row>
    <row r="15" spans="1:53" s="33" customFormat="1" ht="15" thickBot="1" x14ac:dyDescent="0.35">
      <c r="A15" s="306" t="s">
        <v>117</v>
      </c>
      <c r="B15" s="429">
        <v>190429</v>
      </c>
      <c r="C15" s="1020">
        <v>154381</v>
      </c>
      <c r="D15" s="320">
        <v>15704</v>
      </c>
      <c r="E15" s="312">
        <v>15117</v>
      </c>
      <c r="F15" s="312">
        <v>35653</v>
      </c>
      <c r="G15" s="312">
        <v>32623</v>
      </c>
      <c r="H15" s="312">
        <v>219133</v>
      </c>
      <c r="I15" s="312">
        <v>191591</v>
      </c>
      <c r="J15" s="312">
        <v>4515091</v>
      </c>
      <c r="K15" s="312">
        <v>39168</v>
      </c>
      <c r="L15" s="312">
        <v>77432</v>
      </c>
      <c r="M15" s="312">
        <v>67164</v>
      </c>
      <c r="N15" s="312">
        <v>26423</v>
      </c>
      <c r="O15" s="312">
        <v>22131</v>
      </c>
      <c r="P15" s="312">
        <v>21373</v>
      </c>
      <c r="Q15" s="312">
        <v>18301</v>
      </c>
      <c r="R15" s="312"/>
      <c r="S15" s="312">
        <v>70689</v>
      </c>
      <c r="T15" s="304">
        <v>25930</v>
      </c>
      <c r="U15" s="312">
        <v>22123</v>
      </c>
      <c r="V15" s="312">
        <v>721300</v>
      </c>
      <c r="W15" s="312">
        <v>555784</v>
      </c>
      <c r="X15" s="312">
        <v>579498</v>
      </c>
      <c r="Y15" s="312">
        <v>538216</v>
      </c>
      <c r="Z15" s="312">
        <v>39610</v>
      </c>
      <c r="AA15" s="316">
        <v>36587</v>
      </c>
      <c r="AB15" s="316">
        <v>64672</v>
      </c>
      <c r="AC15" s="312">
        <v>58508</v>
      </c>
      <c r="AD15" s="312">
        <v>199048</v>
      </c>
      <c r="AE15" s="312">
        <v>169543</v>
      </c>
      <c r="AF15" s="304">
        <v>393843</v>
      </c>
      <c r="AG15" s="312">
        <v>339847</v>
      </c>
      <c r="AH15" s="312">
        <v>143405</v>
      </c>
      <c r="AI15" s="312">
        <v>122862</v>
      </c>
      <c r="AJ15" s="312">
        <v>83774</v>
      </c>
      <c r="AK15" s="312">
        <v>76023</v>
      </c>
      <c r="AL15" s="312"/>
      <c r="AM15" s="309"/>
      <c r="AN15" s="1022">
        <v>642122</v>
      </c>
      <c r="AO15" s="306">
        <v>594510</v>
      </c>
      <c r="AP15" s="306">
        <v>39016</v>
      </c>
      <c r="AQ15" s="305">
        <v>33650</v>
      </c>
      <c r="AR15" s="305">
        <v>65546</v>
      </c>
      <c r="AS15" s="301">
        <v>56016</v>
      </c>
      <c r="AT15" s="301">
        <v>257264</v>
      </c>
      <c r="AU15" s="312">
        <v>194736</v>
      </c>
      <c r="AV15" s="1035">
        <f t="shared" si="0"/>
        <v>8356266</v>
      </c>
      <c r="AW15" s="297">
        <f>SUM(C15+E15+G15+I15+K15+M15+O15+Q15+S15+U15+W15+Y15+AA15+AC15+AE15+AG15+AI15+AK15+AM15+AO15+AQ15+AS15+AU15)</f>
        <v>3409570</v>
      </c>
      <c r="AX15" s="297">
        <v>12750135</v>
      </c>
      <c r="AY15" s="299">
        <v>11139884</v>
      </c>
      <c r="AZ15" s="1037">
        <f t="shared" si="1"/>
        <v>21106401</v>
      </c>
      <c r="BA15" s="322">
        <f t="shared" si="1"/>
        <v>14549454</v>
      </c>
    </row>
    <row r="16" spans="1:53" s="494" customFormat="1" ht="15" thickBot="1" x14ac:dyDescent="0.35">
      <c r="A16" s="486" t="s">
        <v>118</v>
      </c>
      <c r="B16" s="1021">
        <v>1.73</v>
      </c>
      <c r="C16" s="487">
        <v>1.88</v>
      </c>
      <c r="D16" s="487">
        <v>2.75</v>
      </c>
      <c r="E16" s="488">
        <v>3.33</v>
      </c>
      <c r="F16" s="488">
        <v>1.84</v>
      </c>
      <c r="G16" s="488">
        <v>1.82</v>
      </c>
      <c r="H16" s="488">
        <v>5.16</v>
      </c>
      <c r="I16" s="488">
        <v>5.81</v>
      </c>
      <c r="J16" s="488">
        <v>1.63</v>
      </c>
      <c r="K16" s="488">
        <v>1.62</v>
      </c>
      <c r="L16" s="488">
        <v>2.52</v>
      </c>
      <c r="M16" s="488">
        <v>2.82</v>
      </c>
      <c r="N16" s="488">
        <v>3.69</v>
      </c>
      <c r="O16" s="488">
        <v>404</v>
      </c>
      <c r="P16" s="488">
        <v>2.2000000000000002</v>
      </c>
      <c r="Q16" s="488">
        <v>2.11</v>
      </c>
      <c r="R16" s="488"/>
      <c r="S16" s="488">
        <v>2.17</v>
      </c>
      <c r="T16" s="488">
        <v>1.96</v>
      </c>
      <c r="U16" s="488">
        <v>1.83</v>
      </c>
      <c r="V16" s="488">
        <v>2.0299999999999998</v>
      </c>
      <c r="W16" s="488">
        <v>1.76</v>
      </c>
      <c r="X16" s="488">
        <v>2.09</v>
      </c>
      <c r="Y16" s="488">
        <v>2.04</v>
      </c>
      <c r="Z16" s="488">
        <v>3.24</v>
      </c>
      <c r="AA16" s="489">
        <v>3.12</v>
      </c>
      <c r="AB16" s="489">
        <v>2.1800000000000002</v>
      </c>
      <c r="AC16" s="488">
        <v>1.65</v>
      </c>
      <c r="AD16" s="488">
        <v>2.83</v>
      </c>
      <c r="AE16" s="488">
        <v>2.73</v>
      </c>
      <c r="AF16" s="488">
        <v>1.9</v>
      </c>
      <c r="AG16" s="488">
        <v>2.0099999999999998</v>
      </c>
      <c r="AH16" s="488">
        <v>1.86</v>
      </c>
      <c r="AI16" s="488">
        <v>2.09</v>
      </c>
      <c r="AJ16" s="488">
        <v>2.29</v>
      </c>
      <c r="AK16" s="488">
        <v>2.35</v>
      </c>
      <c r="AL16" s="488"/>
      <c r="AM16" s="490"/>
      <c r="AN16" s="490">
        <v>2.15</v>
      </c>
      <c r="AO16" s="488">
        <v>2.0499999999999998</v>
      </c>
      <c r="AP16" s="488">
        <v>2.1</v>
      </c>
      <c r="AQ16" s="491">
        <v>2.0499999999999998</v>
      </c>
      <c r="AR16" s="491">
        <v>2.2000000000000002</v>
      </c>
      <c r="AS16" s="492">
        <v>2</v>
      </c>
      <c r="AT16" s="492">
        <v>1.86</v>
      </c>
      <c r="AU16" s="488">
        <v>1.96</v>
      </c>
      <c r="AV16" s="1036"/>
      <c r="AW16" s="493"/>
      <c r="AX16" s="493">
        <v>1.87</v>
      </c>
      <c r="AY16" s="493">
        <v>1.85</v>
      </c>
      <c r="AZ16" s="1038"/>
      <c r="BA16" s="486"/>
    </row>
  </sheetData>
  <mergeCells count="28">
    <mergeCell ref="V3:W3"/>
    <mergeCell ref="AN3:AO3"/>
    <mergeCell ref="AH3:AI3"/>
    <mergeCell ref="AF3:AG3"/>
    <mergeCell ref="AZ3:BA3"/>
    <mergeCell ref="AX3:AY3"/>
    <mergeCell ref="AV3:AW3"/>
    <mergeCell ref="AT3:AU3"/>
    <mergeCell ref="AR3:AS3"/>
    <mergeCell ref="AP3:AQ3"/>
    <mergeCell ref="AL3:AM3"/>
    <mergeCell ref="AJ3:AK3"/>
    <mergeCell ref="A1:BA1"/>
    <mergeCell ref="A2:BA2"/>
    <mergeCell ref="B3:C3"/>
    <mergeCell ref="D3:E3"/>
    <mergeCell ref="F3:G3"/>
    <mergeCell ref="P3:Q3"/>
    <mergeCell ref="X3:Y3"/>
    <mergeCell ref="AD3:AE3"/>
    <mergeCell ref="J3:K3"/>
    <mergeCell ref="H3:I3"/>
    <mergeCell ref="Z3:AA3"/>
    <mergeCell ref="AB3:AC3"/>
    <mergeCell ref="N3:O3"/>
    <mergeCell ref="L3:M3"/>
    <mergeCell ref="R3:S3"/>
    <mergeCell ref="T3:U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BA14"/>
  <sheetViews>
    <sheetView workbookViewId="0">
      <pane xSplit="1" topLeftCell="B1" activePane="topRight" state="frozen"/>
      <selection pane="topRight" activeCell="AR11" sqref="AR11"/>
    </sheetView>
  </sheetViews>
  <sheetFormatPr defaultRowHeight="13.5" x14ac:dyDescent="0.25"/>
  <cols>
    <col min="1" max="1" width="23.7109375" style="80" bestFit="1" customWidth="1"/>
    <col min="2" max="53" width="12.42578125" style="80" bestFit="1" customWidth="1"/>
    <col min="54" max="16384" width="9.140625" style="80"/>
  </cols>
  <sheetData>
    <row r="1" spans="1:53" x14ac:dyDescent="0.25">
      <c r="A1" s="1463" t="s">
        <v>299</v>
      </c>
      <c r="B1" s="1463"/>
      <c r="C1" s="1463"/>
      <c r="D1" s="1463"/>
      <c r="E1" s="1463"/>
      <c r="F1" s="1463"/>
      <c r="G1" s="1463"/>
      <c r="H1" s="1463"/>
      <c r="I1" s="1463"/>
      <c r="J1" s="1463"/>
      <c r="K1" s="1463"/>
      <c r="L1" s="1463"/>
      <c r="M1" s="1463"/>
      <c r="N1" s="1463"/>
      <c r="O1" s="1463"/>
      <c r="P1" s="1463"/>
      <c r="Q1" s="1463"/>
      <c r="R1" s="1463"/>
      <c r="S1" s="1463"/>
      <c r="T1" s="1463"/>
      <c r="U1" s="1463"/>
      <c r="V1" s="1463"/>
      <c r="W1" s="1463"/>
      <c r="X1" s="1463"/>
      <c r="Y1" s="1463"/>
      <c r="Z1" s="1463"/>
      <c r="AA1" s="1463"/>
      <c r="AB1" s="1463"/>
      <c r="AC1" s="1463"/>
      <c r="AD1" s="1463"/>
      <c r="AE1" s="1463"/>
      <c r="AF1" s="1463"/>
      <c r="AG1" s="1463"/>
      <c r="AH1" s="1463"/>
      <c r="AI1" s="1463"/>
      <c r="AJ1" s="1463"/>
      <c r="AK1" s="1463"/>
      <c r="AL1" s="1463"/>
      <c r="AM1" s="1463"/>
      <c r="AN1" s="1463"/>
      <c r="AO1" s="1463"/>
      <c r="AP1" s="1463"/>
      <c r="AQ1" s="1463"/>
      <c r="AR1" s="1463"/>
      <c r="AS1" s="1463"/>
      <c r="AT1" s="1463"/>
      <c r="AU1" s="1463"/>
      <c r="AV1" s="1463"/>
      <c r="AW1" s="1463"/>
      <c r="AX1" s="1463"/>
      <c r="AY1" s="1463"/>
    </row>
    <row r="2" spans="1:53" ht="16.5" thickBot="1" x14ac:dyDescent="0.4">
      <c r="A2" s="1391" t="s">
        <v>156</v>
      </c>
      <c r="B2" s="1391"/>
      <c r="C2" s="1391"/>
      <c r="D2" s="1391"/>
      <c r="E2" s="1391"/>
      <c r="F2" s="1391"/>
      <c r="G2" s="1391"/>
      <c r="H2" s="1391"/>
      <c r="I2" s="1391"/>
      <c r="J2" s="1391"/>
      <c r="K2" s="1391"/>
      <c r="L2" s="1391"/>
      <c r="M2" s="1391"/>
      <c r="N2" s="1391"/>
      <c r="O2" s="1391"/>
      <c r="P2" s="1391"/>
      <c r="Q2" s="1391"/>
      <c r="R2" s="1391"/>
      <c r="S2" s="1391"/>
      <c r="T2" s="1391"/>
      <c r="U2" s="1391"/>
      <c r="V2" s="1391"/>
      <c r="W2" s="1391"/>
      <c r="X2" s="1391"/>
      <c r="Y2" s="1391"/>
      <c r="Z2" s="1391"/>
      <c r="AA2" s="1391"/>
      <c r="AB2" s="1391"/>
      <c r="AC2" s="1391"/>
      <c r="AD2" s="1391"/>
      <c r="AE2" s="1391"/>
      <c r="AF2" s="1391"/>
      <c r="AG2" s="1391"/>
      <c r="AH2" s="1391"/>
      <c r="AI2" s="1391"/>
      <c r="AJ2" s="1391"/>
      <c r="AK2" s="1391"/>
      <c r="AL2" s="1391"/>
      <c r="AM2" s="1391"/>
      <c r="AN2" s="1391"/>
      <c r="AO2" s="1391"/>
      <c r="AP2" s="1391"/>
      <c r="AQ2" s="1391"/>
      <c r="AR2" s="1391"/>
      <c r="AS2" s="1391"/>
      <c r="AT2" s="1391"/>
      <c r="AU2" s="1391"/>
      <c r="AV2" s="1391"/>
      <c r="AW2" s="1391"/>
      <c r="AX2" s="1391"/>
      <c r="AY2" s="1391"/>
    </row>
    <row r="3" spans="1:53" s="696" customFormat="1" ht="41.25" customHeight="1" thickBot="1" x14ac:dyDescent="0.3">
      <c r="A3" s="1464" t="s">
        <v>0</v>
      </c>
      <c r="B3" s="1456" t="s">
        <v>158</v>
      </c>
      <c r="C3" s="1457"/>
      <c r="D3" s="1456" t="s">
        <v>159</v>
      </c>
      <c r="E3" s="1458"/>
      <c r="F3" s="1456" t="s">
        <v>160</v>
      </c>
      <c r="G3" s="1457"/>
      <c r="H3" s="1456" t="s">
        <v>161</v>
      </c>
      <c r="I3" s="1457"/>
      <c r="J3" s="1456" t="s">
        <v>162</v>
      </c>
      <c r="K3" s="1458"/>
      <c r="L3" s="1456" t="s">
        <v>163</v>
      </c>
      <c r="M3" s="1457"/>
      <c r="N3" s="1456" t="s">
        <v>312</v>
      </c>
      <c r="O3" s="1458"/>
      <c r="P3" s="1456" t="s">
        <v>164</v>
      </c>
      <c r="Q3" s="1457"/>
      <c r="R3" s="1456" t="s">
        <v>165</v>
      </c>
      <c r="S3" s="1457"/>
      <c r="T3" s="1456" t="s">
        <v>166</v>
      </c>
      <c r="U3" s="1458"/>
      <c r="V3" s="1456" t="s">
        <v>167</v>
      </c>
      <c r="W3" s="1457"/>
      <c r="X3" s="1456" t="s">
        <v>168</v>
      </c>
      <c r="Y3" s="1457"/>
      <c r="Z3" s="1456" t="s">
        <v>381</v>
      </c>
      <c r="AA3" s="1457"/>
      <c r="AB3" s="1456" t="s">
        <v>169</v>
      </c>
      <c r="AC3" s="1457"/>
      <c r="AD3" s="1459" t="s">
        <v>170</v>
      </c>
      <c r="AE3" s="1466"/>
      <c r="AF3" s="1456" t="s">
        <v>171</v>
      </c>
      <c r="AG3" s="1457"/>
      <c r="AH3" s="1456" t="s">
        <v>172</v>
      </c>
      <c r="AI3" s="1457"/>
      <c r="AJ3" s="1456" t="s">
        <v>173</v>
      </c>
      <c r="AK3" s="1457"/>
      <c r="AL3" s="1459" t="s">
        <v>174</v>
      </c>
      <c r="AM3" s="1460"/>
      <c r="AN3" s="1456" t="s">
        <v>175</v>
      </c>
      <c r="AO3" s="1457"/>
      <c r="AP3" s="1456" t="s">
        <v>176</v>
      </c>
      <c r="AQ3" s="1457"/>
      <c r="AR3" s="1456" t="s">
        <v>177</v>
      </c>
      <c r="AS3" s="1457"/>
      <c r="AT3" s="1456" t="s">
        <v>178</v>
      </c>
      <c r="AU3" s="1457"/>
      <c r="AV3" s="1456" t="s">
        <v>1</v>
      </c>
      <c r="AW3" s="1457"/>
      <c r="AX3" s="1461" t="s">
        <v>179</v>
      </c>
      <c r="AY3" s="1462"/>
      <c r="AZ3" s="1459" t="s">
        <v>2</v>
      </c>
      <c r="BA3" s="1460"/>
    </row>
    <row r="4" spans="1:53" s="361" customFormat="1" ht="15" thickBot="1" x14ac:dyDescent="0.35">
      <c r="A4" s="1465"/>
      <c r="B4" s="965" t="s">
        <v>437</v>
      </c>
      <c r="C4" s="966" t="s">
        <v>420</v>
      </c>
      <c r="D4" s="965" t="s">
        <v>437</v>
      </c>
      <c r="E4" s="966" t="s">
        <v>420</v>
      </c>
      <c r="F4" s="965" t="s">
        <v>437</v>
      </c>
      <c r="G4" s="966" t="s">
        <v>420</v>
      </c>
      <c r="H4" s="965" t="s">
        <v>437</v>
      </c>
      <c r="I4" s="966" t="s">
        <v>420</v>
      </c>
      <c r="J4" s="965" t="s">
        <v>437</v>
      </c>
      <c r="K4" s="966" t="s">
        <v>420</v>
      </c>
      <c r="L4" s="965" t="s">
        <v>437</v>
      </c>
      <c r="M4" s="966" t="s">
        <v>420</v>
      </c>
      <c r="N4" s="965" t="s">
        <v>437</v>
      </c>
      <c r="O4" s="966" t="s">
        <v>420</v>
      </c>
      <c r="P4" s="965" t="s">
        <v>437</v>
      </c>
      <c r="Q4" s="966" t="s">
        <v>420</v>
      </c>
      <c r="R4" s="965" t="s">
        <v>437</v>
      </c>
      <c r="S4" s="966" t="s">
        <v>420</v>
      </c>
      <c r="T4" s="965" t="s">
        <v>437</v>
      </c>
      <c r="U4" s="966" t="s">
        <v>420</v>
      </c>
      <c r="V4" s="965" t="s">
        <v>437</v>
      </c>
      <c r="W4" s="966" t="s">
        <v>420</v>
      </c>
      <c r="X4" s="965" t="s">
        <v>437</v>
      </c>
      <c r="Y4" s="966" t="s">
        <v>420</v>
      </c>
      <c r="Z4" s="965" t="s">
        <v>437</v>
      </c>
      <c r="AA4" s="966" t="s">
        <v>420</v>
      </c>
      <c r="AB4" s="965" t="s">
        <v>437</v>
      </c>
      <c r="AC4" s="966" t="s">
        <v>420</v>
      </c>
      <c r="AD4" s="965" t="s">
        <v>437</v>
      </c>
      <c r="AE4" s="966" t="s">
        <v>420</v>
      </c>
      <c r="AF4" s="965" t="s">
        <v>437</v>
      </c>
      <c r="AG4" s="966" t="s">
        <v>420</v>
      </c>
      <c r="AH4" s="965" t="s">
        <v>437</v>
      </c>
      <c r="AI4" s="966" t="s">
        <v>420</v>
      </c>
      <c r="AJ4" s="965" t="s">
        <v>437</v>
      </c>
      <c r="AK4" s="966" t="s">
        <v>420</v>
      </c>
      <c r="AL4" s="965" t="s">
        <v>437</v>
      </c>
      <c r="AM4" s="966" t="s">
        <v>420</v>
      </c>
      <c r="AN4" s="965" t="s">
        <v>437</v>
      </c>
      <c r="AO4" s="966" t="s">
        <v>420</v>
      </c>
      <c r="AP4" s="965" t="s">
        <v>437</v>
      </c>
      <c r="AQ4" s="966" t="s">
        <v>420</v>
      </c>
      <c r="AR4" s="965" t="s">
        <v>437</v>
      </c>
      <c r="AS4" s="966" t="s">
        <v>420</v>
      </c>
      <c r="AT4" s="965" t="s">
        <v>437</v>
      </c>
      <c r="AU4" s="966" t="s">
        <v>420</v>
      </c>
      <c r="AV4" s="965" t="s">
        <v>437</v>
      </c>
      <c r="AW4" s="966" t="s">
        <v>420</v>
      </c>
      <c r="AX4" s="965" t="s">
        <v>437</v>
      </c>
      <c r="AY4" s="966" t="s">
        <v>420</v>
      </c>
      <c r="AZ4" s="965" t="s">
        <v>437</v>
      </c>
      <c r="BA4" s="966" t="s">
        <v>420</v>
      </c>
    </row>
    <row r="5" spans="1:53" s="83" customFormat="1" ht="15" customHeight="1" x14ac:dyDescent="0.25">
      <c r="A5" s="89" t="s">
        <v>3</v>
      </c>
      <c r="B5" s="261">
        <v>55.52</v>
      </c>
      <c r="C5" s="262">
        <v>6.64</v>
      </c>
      <c r="D5" s="261"/>
      <c r="E5" s="263"/>
      <c r="F5" s="260">
        <v>0.09</v>
      </c>
      <c r="G5" s="262">
        <v>0.11</v>
      </c>
      <c r="H5" s="261">
        <v>1.49</v>
      </c>
      <c r="I5" s="262">
        <v>7.97</v>
      </c>
      <c r="J5" s="261"/>
      <c r="K5" s="263"/>
      <c r="L5" s="260"/>
      <c r="M5" s="262"/>
      <c r="N5" s="261"/>
      <c r="O5" s="263"/>
      <c r="P5" s="260">
        <v>9.83</v>
      </c>
      <c r="Q5" s="262"/>
      <c r="R5" s="261"/>
      <c r="S5" s="262"/>
      <c r="T5" s="261">
        <v>1.0900000000000001</v>
      </c>
      <c r="U5" s="263">
        <v>3.26</v>
      </c>
      <c r="V5" s="260">
        <v>4.58</v>
      </c>
      <c r="W5" s="262">
        <v>1.25</v>
      </c>
      <c r="X5" s="261">
        <v>54.67</v>
      </c>
      <c r="Y5" s="262">
        <v>1.95</v>
      </c>
      <c r="Z5" s="261">
        <v>0.04</v>
      </c>
      <c r="AA5" s="262">
        <v>0.03</v>
      </c>
      <c r="AB5" s="329"/>
      <c r="AC5" s="330"/>
      <c r="AD5" s="261">
        <v>-7.0000000000000007E-2</v>
      </c>
      <c r="AE5" s="263">
        <v>0.43</v>
      </c>
      <c r="AF5" s="260">
        <v>8.49</v>
      </c>
      <c r="AG5" s="262">
        <v>1.77</v>
      </c>
      <c r="AH5" s="261">
        <v>1.26</v>
      </c>
      <c r="AI5" s="262">
        <v>2.21</v>
      </c>
      <c r="AJ5" s="261"/>
      <c r="AK5" s="262"/>
      <c r="AL5" s="261"/>
      <c r="AM5" s="263"/>
      <c r="AN5" s="778">
        <v>603.85</v>
      </c>
      <c r="AO5" s="779">
        <v>223.95</v>
      </c>
      <c r="AP5" s="264"/>
      <c r="AQ5" s="262"/>
      <c r="AR5" s="261"/>
      <c r="AS5" s="262"/>
      <c r="AT5" s="261">
        <v>2.99</v>
      </c>
      <c r="AU5" s="262">
        <v>3.55</v>
      </c>
      <c r="AV5" s="258">
        <f t="shared" ref="AV5:AV14" si="0">SUM(B5+D5+F5+H5+J5+L5+N5+P5+R5+T5+V5+X5+Z5+P5+AD5+AF5+AH5+AJ5+AL5+AN5+AP5+AR5+AT5)</f>
        <v>753.66000000000008</v>
      </c>
      <c r="AW5" s="518">
        <f t="shared" ref="AW5:AW14" si="1">SUM(C5+E5+G5+I5+K5+M5+O5+Q5+S5+U5+W5+Y5+AA5+Q5+AE5+AG5+AI5+AK5+AM5+AO5+AQ5+AS5+AU5)</f>
        <v>253.12</v>
      </c>
      <c r="AX5" s="261">
        <v>6267.35</v>
      </c>
      <c r="AY5" s="263">
        <v>4319.25</v>
      </c>
      <c r="AZ5" s="258">
        <f t="shared" ref="AZ5:AZ14" si="2">AV5+AX5</f>
        <v>7021.01</v>
      </c>
      <c r="BA5" s="259">
        <f t="shared" ref="BA5:BA14" si="3">AW5+AY5</f>
        <v>4572.37</v>
      </c>
    </row>
    <row r="6" spans="1:53" s="83" customFormat="1" x14ac:dyDescent="0.25">
      <c r="A6" s="89" t="s">
        <v>4</v>
      </c>
      <c r="B6" s="35">
        <v>48.08</v>
      </c>
      <c r="C6" s="82">
        <v>-4.46</v>
      </c>
      <c r="D6" s="7"/>
      <c r="E6" s="84"/>
      <c r="F6" s="6">
        <v>5.7</v>
      </c>
      <c r="G6" s="8">
        <v>10.4</v>
      </c>
      <c r="H6" s="7">
        <v>1025.4100000000001</v>
      </c>
      <c r="I6" s="8">
        <v>1247.26</v>
      </c>
      <c r="J6" s="7">
        <v>44.68</v>
      </c>
      <c r="K6" s="84">
        <v>19.899999999999999</v>
      </c>
      <c r="L6" s="6">
        <v>455.47</v>
      </c>
      <c r="M6" s="8">
        <v>310.60000000000002</v>
      </c>
      <c r="N6" s="7"/>
      <c r="O6" s="84"/>
      <c r="P6" s="6"/>
      <c r="Q6" s="8">
        <v>9.51</v>
      </c>
      <c r="R6" s="7"/>
      <c r="S6" s="8">
        <v>0.19</v>
      </c>
      <c r="T6" s="7">
        <v>15.27</v>
      </c>
      <c r="U6" s="84">
        <v>21.9</v>
      </c>
      <c r="V6" s="6">
        <v>3173.62</v>
      </c>
      <c r="W6" s="8">
        <v>2228.41</v>
      </c>
      <c r="X6" s="7">
        <v>1224.28</v>
      </c>
      <c r="Y6" s="8">
        <v>345.89</v>
      </c>
      <c r="Z6" s="79">
        <v>229.48</v>
      </c>
      <c r="AA6" s="520">
        <v>151.09</v>
      </c>
      <c r="AB6" s="327">
        <v>341.02</v>
      </c>
      <c r="AC6" s="328">
        <v>267.87</v>
      </c>
      <c r="AD6" s="7">
        <v>600.30999999999995</v>
      </c>
      <c r="AE6" s="84">
        <v>272</v>
      </c>
      <c r="AF6" s="6">
        <v>628.70000000000005</v>
      </c>
      <c r="AG6" s="8">
        <v>639.57000000000005</v>
      </c>
      <c r="AH6" s="7">
        <v>431.39</v>
      </c>
      <c r="AI6" s="8">
        <v>303.02999999999997</v>
      </c>
      <c r="AJ6" s="7"/>
      <c r="AK6" s="8"/>
      <c r="AL6" s="7"/>
      <c r="AM6" s="84"/>
      <c r="AN6" s="780">
        <v>3831.78</v>
      </c>
      <c r="AO6" s="781">
        <v>2680.18</v>
      </c>
      <c r="AP6" s="777"/>
      <c r="AQ6" s="85"/>
      <c r="AR6" s="86">
        <v>537.59</v>
      </c>
      <c r="AS6" s="87">
        <v>372.34</v>
      </c>
      <c r="AT6" s="7">
        <v>20.25</v>
      </c>
      <c r="AU6" s="8">
        <v>5.32</v>
      </c>
      <c r="AV6" s="258">
        <f t="shared" si="0"/>
        <v>12272.01</v>
      </c>
      <c r="AW6" s="518">
        <f t="shared" si="1"/>
        <v>8622.64</v>
      </c>
      <c r="AX6" s="86">
        <v>6879.34</v>
      </c>
      <c r="AY6" s="784">
        <v>1522.31</v>
      </c>
      <c r="AZ6" s="785">
        <f t="shared" si="2"/>
        <v>19151.349999999999</v>
      </c>
      <c r="BA6" s="82">
        <f t="shared" si="3"/>
        <v>10144.949999999999</v>
      </c>
    </row>
    <row r="7" spans="1:53" s="83" customFormat="1" x14ac:dyDescent="0.25">
      <c r="A7" s="89" t="s">
        <v>5</v>
      </c>
      <c r="B7" s="35">
        <v>330.85</v>
      </c>
      <c r="C7" s="82">
        <v>26.62</v>
      </c>
      <c r="D7" s="7">
        <v>2.75</v>
      </c>
      <c r="E7" s="84">
        <v>-0.03</v>
      </c>
      <c r="F7" s="6"/>
      <c r="G7" s="8"/>
      <c r="H7" s="7">
        <v>199</v>
      </c>
      <c r="I7" s="8">
        <v>63.67</v>
      </c>
      <c r="J7" s="7">
        <v>0.2</v>
      </c>
      <c r="K7" s="84">
        <v>2.5099999999999998</v>
      </c>
      <c r="L7" s="6">
        <v>59.79</v>
      </c>
      <c r="M7" s="8">
        <v>48.41</v>
      </c>
      <c r="N7" s="7">
        <v>302.38</v>
      </c>
      <c r="O7" s="84">
        <v>100.65</v>
      </c>
      <c r="P7" s="6"/>
      <c r="Q7" s="8"/>
      <c r="R7" s="7"/>
      <c r="S7" s="8"/>
      <c r="T7" s="7"/>
      <c r="U7" s="84">
        <v>0.12</v>
      </c>
      <c r="V7" s="6">
        <v>1789.35</v>
      </c>
      <c r="W7" s="8">
        <v>1509.62</v>
      </c>
      <c r="X7" s="7">
        <v>620.54</v>
      </c>
      <c r="Y7" s="8">
        <v>120.01</v>
      </c>
      <c r="Z7" s="79"/>
      <c r="AA7" s="520"/>
      <c r="AB7" s="327">
        <v>38.26</v>
      </c>
      <c r="AC7" s="328"/>
      <c r="AD7" s="7">
        <v>509.56</v>
      </c>
      <c r="AE7" s="84">
        <v>322.26</v>
      </c>
      <c r="AF7" s="6">
        <v>12.14</v>
      </c>
      <c r="AG7" s="8">
        <v>7.08</v>
      </c>
      <c r="AH7" s="7"/>
      <c r="AI7" s="8"/>
      <c r="AJ7" s="7"/>
      <c r="AK7" s="8"/>
      <c r="AL7" s="7"/>
      <c r="AM7" s="84"/>
      <c r="AN7" s="780">
        <v>1.22</v>
      </c>
      <c r="AO7" s="781">
        <v>2.96</v>
      </c>
      <c r="AP7" s="777">
        <v>234.97</v>
      </c>
      <c r="AQ7" s="85">
        <v>104.66</v>
      </c>
      <c r="AR7" s="86"/>
      <c r="AS7" s="87"/>
      <c r="AT7" s="7">
        <v>0.33</v>
      </c>
      <c r="AU7" s="8">
        <v>0.24</v>
      </c>
      <c r="AV7" s="258">
        <f t="shared" si="0"/>
        <v>4063.079999999999</v>
      </c>
      <c r="AW7" s="518">
        <f t="shared" si="1"/>
        <v>2308.7799999999997</v>
      </c>
      <c r="AX7" s="86">
        <v>15.17</v>
      </c>
      <c r="AY7" s="784">
        <v>14.32</v>
      </c>
      <c r="AZ7" s="785">
        <f t="shared" si="2"/>
        <v>4078.2499999999991</v>
      </c>
      <c r="BA7" s="82">
        <f t="shared" si="3"/>
        <v>2323.1</v>
      </c>
    </row>
    <row r="8" spans="1:53" s="83" customFormat="1" x14ac:dyDescent="0.25">
      <c r="A8" s="89" t="s">
        <v>6</v>
      </c>
      <c r="B8" s="35">
        <v>527.41999999999996</v>
      </c>
      <c r="C8" s="82">
        <v>20.11</v>
      </c>
      <c r="D8" s="7">
        <v>6.37</v>
      </c>
      <c r="E8" s="84">
        <v>4.84</v>
      </c>
      <c r="F8" s="6">
        <v>37.93</v>
      </c>
      <c r="G8" s="8">
        <v>32.04</v>
      </c>
      <c r="H8" s="7">
        <v>337.14</v>
      </c>
      <c r="I8" s="8">
        <v>224.4</v>
      </c>
      <c r="J8" s="7">
        <v>0.09</v>
      </c>
      <c r="K8" s="84">
        <v>0.67</v>
      </c>
      <c r="L8" s="6">
        <v>29.84</v>
      </c>
      <c r="M8" s="8">
        <v>2.69</v>
      </c>
      <c r="N8" s="7">
        <v>154.4</v>
      </c>
      <c r="O8" s="84">
        <v>35.93</v>
      </c>
      <c r="P8" s="6">
        <v>0.13</v>
      </c>
      <c r="Q8" s="8">
        <v>1.27</v>
      </c>
      <c r="R8" s="7"/>
      <c r="S8" s="8">
        <v>117.59</v>
      </c>
      <c r="T8" s="7">
        <v>23.73</v>
      </c>
      <c r="U8" s="84">
        <v>12.16</v>
      </c>
      <c r="V8" s="6">
        <v>603.13</v>
      </c>
      <c r="W8" s="8">
        <v>308.77</v>
      </c>
      <c r="X8" s="7">
        <v>1042.1400000000001</v>
      </c>
      <c r="Y8" s="8">
        <v>127.86</v>
      </c>
      <c r="Z8" s="79"/>
      <c r="AA8" s="520"/>
      <c r="AB8" s="327">
        <v>53.59</v>
      </c>
      <c r="AC8" s="328">
        <v>74.52</v>
      </c>
      <c r="AD8" s="7">
        <v>475.17</v>
      </c>
      <c r="AE8" s="84">
        <v>179.68</v>
      </c>
      <c r="AF8" s="6">
        <v>42.56</v>
      </c>
      <c r="AG8" s="8">
        <v>18.23</v>
      </c>
      <c r="AH8" s="7">
        <v>191.38</v>
      </c>
      <c r="AI8" s="8">
        <v>130.13</v>
      </c>
      <c r="AJ8" s="7">
        <v>0.26</v>
      </c>
      <c r="AK8" s="8">
        <v>0.94</v>
      </c>
      <c r="AL8" s="7"/>
      <c r="AM8" s="84"/>
      <c r="AN8" s="780">
        <v>127.61</v>
      </c>
      <c r="AO8" s="781">
        <v>94.56</v>
      </c>
      <c r="AP8" s="777">
        <v>4.1100000000000003</v>
      </c>
      <c r="AQ8" s="85">
        <v>36.46</v>
      </c>
      <c r="AR8" s="86">
        <v>7.62</v>
      </c>
      <c r="AS8" s="87">
        <v>4.93</v>
      </c>
      <c r="AT8" s="7">
        <v>163.57</v>
      </c>
      <c r="AU8" s="8">
        <v>101.8</v>
      </c>
      <c r="AV8" s="258">
        <f t="shared" si="0"/>
        <v>3774.7300000000014</v>
      </c>
      <c r="AW8" s="518">
        <f t="shared" si="1"/>
        <v>1456.33</v>
      </c>
      <c r="AX8" s="86">
        <v>118.54</v>
      </c>
      <c r="AY8" s="784">
        <v>234.89</v>
      </c>
      <c r="AZ8" s="785">
        <f t="shared" si="2"/>
        <v>3893.2700000000013</v>
      </c>
      <c r="BA8" s="82">
        <f t="shared" si="3"/>
        <v>1691.2199999999998</v>
      </c>
    </row>
    <row r="9" spans="1:53" s="83" customFormat="1" x14ac:dyDescent="0.25">
      <c r="A9" s="89" t="s">
        <v>7</v>
      </c>
      <c r="B9" s="35"/>
      <c r="C9" s="82"/>
      <c r="D9" s="7"/>
      <c r="E9" s="84"/>
      <c r="F9" s="6"/>
      <c r="G9" s="8"/>
      <c r="H9" s="7">
        <v>30.44</v>
      </c>
      <c r="I9" s="8">
        <v>97.6</v>
      </c>
      <c r="J9" s="7"/>
      <c r="K9" s="84"/>
      <c r="L9" s="6"/>
      <c r="M9" s="8"/>
      <c r="N9" s="7">
        <v>6.69</v>
      </c>
      <c r="O9" s="84">
        <v>5.5</v>
      </c>
      <c r="P9" s="6"/>
      <c r="Q9" s="8"/>
      <c r="R9" s="7"/>
      <c r="S9" s="8"/>
      <c r="T9" s="7"/>
      <c r="U9" s="84"/>
      <c r="V9" s="6">
        <v>108.34</v>
      </c>
      <c r="W9" s="8">
        <v>46.92</v>
      </c>
      <c r="X9" s="7">
        <v>7.0000000000000001E-3</v>
      </c>
      <c r="Y9" s="8"/>
      <c r="Z9" s="79"/>
      <c r="AA9" s="520"/>
      <c r="AB9" s="327">
        <v>86.68</v>
      </c>
      <c r="AC9" s="328"/>
      <c r="AD9" s="7">
        <v>286.42</v>
      </c>
      <c r="AE9" s="84">
        <v>150.63999999999999</v>
      </c>
      <c r="AF9" s="6"/>
      <c r="AG9" s="8"/>
      <c r="AH9" s="7"/>
      <c r="AI9" s="8"/>
      <c r="AJ9" s="7"/>
      <c r="AK9" s="8"/>
      <c r="AL9" s="7"/>
      <c r="AM9" s="84"/>
      <c r="AN9" s="782">
        <v>0.01</v>
      </c>
      <c r="AO9" s="783"/>
      <c r="AP9" s="777"/>
      <c r="AQ9" s="85"/>
      <c r="AR9" s="86"/>
      <c r="AS9" s="87"/>
      <c r="AT9" s="7"/>
      <c r="AU9" s="8"/>
      <c r="AV9" s="258">
        <f t="shared" si="0"/>
        <v>431.90700000000004</v>
      </c>
      <c r="AW9" s="518">
        <f t="shared" si="1"/>
        <v>300.65999999999997</v>
      </c>
      <c r="AX9" s="86"/>
      <c r="AY9" s="784"/>
      <c r="AZ9" s="785">
        <f t="shared" si="2"/>
        <v>431.90700000000004</v>
      </c>
      <c r="BA9" s="82">
        <f t="shared" si="3"/>
        <v>300.65999999999997</v>
      </c>
    </row>
    <row r="10" spans="1:53" s="83" customFormat="1" x14ac:dyDescent="0.25">
      <c r="A10" s="89" t="s">
        <v>8</v>
      </c>
      <c r="B10" s="35">
        <v>3227.2</v>
      </c>
      <c r="C10" s="82">
        <v>252.49</v>
      </c>
      <c r="D10" s="7">
        <v>1.0900000000000001</v>
      </c>
      <c r="E10" s="84">
        <v>1.42</v>
      </c>
      <c r="F10" s="6">
        <v>64.66</v>
      </c>
      <c r="G10" s="8">
        <v>43.97</v>
      </c>
      <c r="H10" s="7">
        <v>3430.52</v>
      </c>
      <c r="I10" s="8">
        <v>3534.18</v>
      </c>
      <c r="J10" s="7">
        <v>169.64</v>
      </c>
      <c r="K10" s="84">
        <v>153.66</v>
      </c>
      <c r="L10" s="6">
        <v>1328.2</v>
      </c>
      <c r="M10" s="8">
        <v>696.78</v>
      </c>
      <c r="N10" s="7">
        <v>74.459999999999994</v>
      </c>
      <c r="O10" s="84">
        <v>40.799999999999997</v>
      </c>
      <c r="P10" s="6">
        <v>16.48</v>
      </c>
      <c r="Q10" s="8">
        <v>23.29</v>
      </c>
      <c r="R10" s="7"/>
      <c r="S10" s="8">
        <v>33.25</v>
      </c>
      <c r="T10" s="7">
        <v>268.57</v>
      </c>
      <c r="U10" s="84">
        <v>99.72</v>
      </c>
      <c r="V10" s="6">
        <v>8634.11</v>
      </c>
      <c r="W10" s="8">
        <v>8495.14</v>
      </c>
      <c r="X10" s="7">
        <v>5499.48</v>
      </c>
      <c r="Y10" s="8">
        <v>1367.3</v>
      </c>
      <c r="Z10" s="79">
        <v>11.87</v>
      </c>
      <c r="AA10" s="520">
        <v>26.08</v>
      </c>
      <c r="AB10" s="327">
        <v>424.99</v>
      </c>
      <c r="AC10" s="328">
        <v>869.5</v>
      </c>
      <c r="AD10" s="88">
        <v>1845.33</v>
      </c>
      <c r="AE10" s="519">
        <v>1916.01</v>
      </c>
      <c r="AF10" s="6">
        <v>184.44</v>
      </c>
      <c r="AG10" s="8">
        <v>139.76</v>
      </c>
      <c r="AH10" s="7">
        <v>300.07</v>
      </c>
      <c r="AI10" s="8">
        <v>152.16</v>
      </c>
      <c r="AJ10" s="7">
        <v>93.06</v>
      </c>
      <c r="AK10" s="8">
        <v>298.3</v>
      </c>
      <c r="AL10" s="7"/>
      <c r="AM10" s="84"/>
      <c r="AN10" s="780">
        <v>4118.28</v>
      </c>
      <c r="AO10" s="781">
        <v>5956.01</v>
      </c>
      <c r="AP10" s="777">
        <v>238.41</v>
      </c>
      <c r="AQ10" s="85">
        <v>353.25</v>
      </c>
      <c r="AR10" s="86">
        <v>1091.97</v>
      </c>
      <c r="AS10" s="87">
        <v>398.19</v>
      </c>
      <c r="AT10" s="7">
        <v>381.19</v>
      </c>
      <c r="AU10" s="8">
        <v>237.21</v>
      </c>
      <c r="AV10" s="258">
        <f t="shared" si="0"/>
        <v>30995.509999999995</v>
      </c>
      <c r="AW10" s="518">
        <f t="shared" si="1"/>
        <v>24242.26</v>
      </c>
      <c r="AX10" s="7">
        <v>159979.47</v>
      </c>
      <c r="AY10" s="84">
        <v>137847.79999999999</v>
      </c>
      <c r="AZ10" s="785">
        <f t="shared" si="2"/>
        <v>190974.97999999998</v>
      </c>
      <c r="BA10" s="82">
        <f t="shared" si="3"/>
        <v>162090.06</v>
      </c>
    </row>
    <row r="11" spans="1:53" s="83" customFormat="1" ht="14.25" thickBot="1" x14ac:dyDescent="0.3">
      <c r="A11" s="89" t="s">
        <v>9</v>
      </c>
      <c r="B11" s="1147"/>
      <c r="C11" s="1148"/>
      <c r="D11" s="1149"/>
      <c r="E11" s="1150"/>
      <c r="F11" s="1151"/>
      <c r="G11" s="1152"/>
      <c r="H11" s="1149"/>
      <c r="I11" s="1152"/>
      <c r="J11" s="1149"/>
      <c r="K11" s="1150"/>
      <c r="L11" s="1151"/>
      <c r="M11" s="1152"/>
      <c r="N11" s="1149"/>
      <c r="O11" s="1150"/>
      <c r="P11" s="1151"/>
      <c r="Q11" s="1152"/>
      <c r="R11" s="1149"/>
      <c r="S11" s="1152"/>
      <c r="T11" s="1149"/>
      <c r="U11" s="1150"/>
      <c r="V11" s="1151"/>
      <c r="W11" s="1152"/>
      <c r="X11" s="1149">
        <f>0.35+30.97</f>
        <v>31.32</v>
      </c>
      <c r="Y11" s="1152">
        <f>0.01+0.01+2.17</f>
        <v>2.19</v>
      </c>
      <c r="Z11" s="1153"/>
      <c r="AA11" s="1154"/>
      <c r="AB11" s="1155"/>
      <c r="AC11" s="1156"/>
      <c r="AD11" s="1157"/>
      <c r="AE11" s="1158"/>
      <c r="AF11" s="1151"/>
      <c r="AG11" s="1152"/>
      <c r="AH11" s="1149"/>
      <c r="AI11" s="1152"/>
      <c r="AJ11" s="1149"/>
      <c r="AK11" s="1152"/>
      <c r="AL11" s="1149"/>
      <c r="AM11" s="1150"/>
      <c r="AN11" s="1159"/>
      <c r="AO11" s="1160"/>
      <c r="AP11" s="1161"/>
      <c r="AQ11" s="1162"/>
      <c r="AR11" s="1163"/>
      <c r="AS11" s="1164"/>
      <c r="AT11" s="1149"/>
      <c r="AU11" s="1152"/>
      <c r="AV11" s="1165">
        <f t="shared" si="0"/>
        <v>31.32</v>
      </c>
      <c r="AW11" s="1166">
        <f t="shared" si="1"/>
        <v>2.19</v>
      </c>
      <c r="AX11" s="1149"/>
      <c r="AY11" s="1150"/>
      <c r="AZ11" s="1167">
        <f t="shared" si="2"/>
        <v>31.32</v>
      </c>
      <c r="BA11" s="1148">
        <f t="shared" si="3"/>
        <v>2.19</v>
      </c>
    </row>
    <row r="12" spans="1:53" s="362" customFormat="1" ht="14.25" thickBot="1" x14ac:dyDescent="0.3">
      <c r="A12" s="609" t="s">
        <v>10</v>
      </c>
      <c r="B12" s="373">
        <f t="shared" ref="B12:Q12" si="4">SUM(B5:B11)</f>
        <v>4189.07</v>
      </c>
      <c r="C12" s="376">
        <f t="shared" si="4"/>
        <v>301.39999999999998</v>
      </c>
      <c r="D12" s="373">
        <f t="shared" si="4"/>
        <v>10.210000000000001</v>
      </c>
      <c r="E12" s="374">
        <f t="shared" si="4"/>
        <v>6.2299999999999995</v>
      </c>
      <c r="F12" s="375">
        <f t="shared" si="4"/>
        <v>108.38</v>
      </c>
      <c r="G12" s="376">
        <f t="shared" si="4"/>
        <v>86.52</v>
      </c>
      <c r="H12" s="373">
        <f t="shared" si="4"/>
        <v>5024</v>
      </c>
      <c r="I12" s="376">
        <f t="shared" si="4"/>
        <v>5175.08</v>
      </c>
      <c r="J12" s="373">
        <f t="shared" si="4"/>
        <v>214.60999999999999</v>
      </c>
      <c r="K12" s="374">
        <f t="shared" si="4"/>
        <v>176.74</v>
      </c>
      <c r="L12" s="375">
        <f t="shared" si="4"/>
        <v>1873.3000000000002</v>
      </c>
      <c r="M12" s="376">
        <f t="shared" si="4"/>
        <v>1058.48</v>
      </c>
      <c r="N12" s="1168">
        <f t="shared" si="4"/>
        <v>537.92999999999995</v>
      </c>
      <c r="O12" s="1169">
        <f t="shared" si="4"/>
        <v>182.88</v>
      </c>
      <c r="P12" s="375">
        <f t="shared" si="4"/>
        <v>26.44</v>
      </c>
      <c r="Q12" s="376">
        <f t="shared" si="4"/>
        <v>34.07</v>
      </c>
      <c r="R12" s="1168">
        <f t="shared" ref="R12:AG12" si="5">SUM(R5:R11)</f>
        <v>0</v>
      </c>
      <c r="S12" s="1170">
        <f t="shared" si="5"/>
        <v>151.03</v>
      </c>
      <c r="T12" s="373">
        <f t="shared" si="5"/>
        <v>308.65999999999997</v>
      </c>
      <c r="U12" s="374">
        <f t="shared" si="5"/>
        <v>137.16</v>
      </c>
      <c r="V12" s="375">
        <f t="shared" si="5"/>
        <v>14313.130000000001</v>
      </c>
      <c r="W12" s="376">
        <f t="shared" si="5"/>
        <v>12590.109999999999</v>
      </c>
      <c r="X12" s="373">
        <f t="shared" si="5"/>
        <v>8472.4369999999999</v>
      </c>
      <c r="Y12" s="376">
        <f t="shared" si="5"/>
        <v>1965.1999999999998</v>
      </c>
      <c r="Z12" s="373">
        <f t="shared" si="5"/>
        <v>241.39</v>
      </c>
      <c r="AA12" s="376">
        <f t="shared" si="5"/>
        <v>177.2</v>
      </c>
      <c r="AB12" s="1168">
        <f t="shared" si="5"/>
        <v>944.54</v>
      </c>
      <c r="AC12" s="1170">
        <f t="shared" si="5"/>
        <v>1211.8899999999999</v>
      </c>
      <c r="AD12" s="373">
        <f t="shared" si="5"/>
        <v>3716.7200000000003</v>
      </c>
      <c r="AE12" s="374">
        <f t="shared" si="5"/>
        <v>2841.02</v>
      </c>
      <c r="AF12" s="375">
        <f t="shared" si="5"/>
        <v>876.33000000000015</v>
      </c>
      <c r="AG12" s="376">
        <f t="shared" si="5"/>
        <v>806.41000000000008</v>
      </c>
      <c r="AH12" s="373">
        <f t="shared" ref="AH12:AU12" si="6">SUM(AH5:AH11)</f>
        <v>924.09999999999991</v>
      </c>
      <c r="AI12" s="376">
        <f t="shared" si="6"/>
        <v>587.53</v>
      </c>
      <c r="AJ12" s="373">
        <f t="shared" si="6"/>
        <v>93.320000000000007</v>
      </c>
      <c r="AK12" s="376">
        <f t="shared" si="6"/>
        <v>299.24</v>
      </c>
      <c r="AL12" s="373">
        <f t="shared" si="6"/>
        <v>0</v>
      </c>
      <c r="AM12" s="374">
        <f t="shared" si="6"/>
        <v>0</v>
      </c>
      <c r="AN12" s="375">
        <f t="shared" si="6"/>
        <v>8682.75</v>
      </c>
      <c r="AO12" s="1170">
        <f t="shared" si="6"/>
        <v>8957.66</v>
      </c>
      <c r="AP12" s="373">
        <f t="shared" si="6"/>
        <v>477.49</v>
      </c>
      <c r="AQ12" s="376">
        <f t="shared" si="6"/>
        <v>494.37</v>
      </c>
      <c r="AR12" s="373">
        <f t="shared" si="6"/>
        <v>1637.18</v>
      </c>
      <c r="AS12" s="376">
        <f t="shared" si="6"/>
        <v>775.46</v>
      </c>
      <c r="AT12" s="373">
        <f t="shared" si="6"/>
        <v>568.32999999999993</v>
      </c>
      <c r="AU12" s="373">
        <f t="shared" si="6"/>
        <v>348.12</v>
      </c>
      <c r="AV12" s="375">
        <f t="shared" si="0"/>
        <v>52322.217000000004</v>
      </c>
      <c r="AW12" s="1171">
        <f t="shared" si="1"/>
        <v>37185.980000000003</v>
      </c>
      <c r="AX12" s="1172">
        <f>SUM(AX5:AX11)</f>
        <v>173259.87</v>
      </c>
      <c r="AY12" s="1173">
        <f>SUM(AY5:AY11)</f>
        <v>143938.56999999998</v>
      </c>
      <c r="AZ12" s="375">
        <f t="shared" si="2"/>
        <v>225582.087</v>
      </c>
      <c r="BA12" s="1170">
        <f t="shared" si="3"/>
        <v>181124.55</v>
      </c>
    </row>
    <row r="13" spans="1:53" s="83" customFormat="1" ht="14.25" thickBot="1" x14ac:dyDescent="0.3">
      <c r="A13" s="89" t="s">
        <v>11</v>
      </c>
      <c r="B13" s="1174"/>
      <c r="C13" s="1175"/>
      <c r="D13" s="1176"/>
      <c r="E13" s="1177"/>
      <c r="F13" s="1178"/>
      <c r="G13" s="1179"/>
      <c r="H13" s="1176"/>
      <c r="I13" s="1179"/>
      <c r="J13" s="1176"/>
      <c r="K13" s="1177"/>
      <c r="L13" s="1178"/>
      <c r="M13" s="1179"/>
      <c r="N13" s="1176"/>
      <c r="O13" s="1177"/>
      <c r="P13" s="1178"/>
      <c r="Q13" s="1179"/>
      <c r="R13" s="1180"/>
      <c r="S13" s="1181"/>
      <c r="T13" s="1180"/>
      <c r="U13" s="1182"/>
      <c r="V13" s="1183"/>
      <c r="W13" s="1181"/>
      <c r="X13" s="1180"/>
      <c r="Y13" s="1181"/>
      <c r="Z13" s="1180"/>
      <c r="AA13" s="1181"/>
      <c r="AB13" s="1184"/>
      <c r="AC13" s="1185"/>
      <c r="AD13" s="1176"/>
      <c r="AE13" s="1177"/>
      <c r="AF13" s="1178"/>
      <c r="AG13" s="1179"/>
      <c r="AH13" s="1176"/>
      <c r="AI13" s="1179">
        <v>-3.0000000000000001E-3</v>
      </c>
      <c r="AJ13" s="1176"/>
      <c r="AK13" s="1179"/>
      <c r="AL13" s="1176"/>
      <c r="AM13" s="1177"/>
      <c r="AN13" s="1186"/>
      <c r="AO13" s="1187"/>
      <c r="AP13" s="1188"/>
      <c r="AQ13" s="1189"/>
      <c r="AR13" s="1190"/>
      <c r="AS13" s="1191"/>
      <c r="AT13" s="1176"/>
      <c r="AU13" s="1179"/>
      <c r="AV13" s="1165">
        <f t="shared" si="0"/>
        <v>0</v>
      </c>
      <c r="AW13" s="1166">
        <f t="shared" si="1"/>
        <v>-3.0000000000000001E-3</v>
      </c>
      <c r="AX13" s="1190"/>
      <c r="AY13" s="1192"/>
      <c r="AZ13" s="1165">
        <f t="shared" si="2"/>
        <v>0</v>
      </c>
      <c r="BA13" s="1193">
        <f t="shared" si="3"/>
        <v>-3.0000000000000001E-3</v>
      </c>
    </row>
    <row r="14" spans="1:53" s="362" customFormat="1" ht="14.25" thickBot="1" x14ac:dyDescent="0.3">
      <c r="A14" s="609" t="s">
        <v>12</v>
      </c>
      <c r="B14" s="373">
        <f t="shared" ref="B14:AG14" si="7">B12+B13</f>
        <v>4189.07</v>
      </c>
      <c r="C14" s="376">
        <f t="shared" si="7"/>
        <v>301.39999999999998</v>
      </c>
      <c r="D14" s="373">
        <f t="shared" si="7"/>
        <v>10.210000000000001</v>
      </c>
      <c r="E14" s="374">
        <f t="shared" si="7"/>
        <v>6.2299999999999995</v>
      </c>
      <c r="F14" s="375">
        <f t="shared" si="7"/>
        <v>108.38</v>
      </c>
      <c r="G14" s="376">
        <f t="shared" si="7"/>
        <v>86.52</v>
      </c>
      <c r="H14" s="373">
        <f t="shared" si="7"/>
        <v>5024</v>
      </c>
      <c r="I14" s="376">
        <f t="shared" si="7"/>
        <v>5175.08</v>
      </c>
      <c r="J14" s="373">
        <f t="shared" si="7"/>
        <v>214.60999999999999</v>
      </c>
      <c r="K14" s="374">
        <f t="shared" si="7"/>
        <v>176.74</v>
      </c>
      <c r="L14" s="375">
        <f t="shared" si="7"/>
        <v>1873.3000000000002</v>
      </c>
      <c r="M14" s="376">
        <f t="shared" si="7"/>
        <v>1058.48</v>
      </c>
      <c r="N14" s="1168">
        <f t="shared" si="7"/>
        <v>537.92999999999995</v>
      </c>
      <c r="O14" s="1169">
        <f t="shared" si="7"/>
        <v>182.88</v>
      </c>
      <c r="P14" s="375">
        <f>P12+P13</f>
        <v>26.44</v>
      </c>
      <c r="Q14" s="376">
        <f>Q12+Q13</f>
        <v>34.07</v>
      </c>
      <c r="R14" s="1168">
        <f t="shared" si="7"/>
        <v>0</v>
      </c>
      <c r="S14" s="1170">
        <f t="shared" si="7"/>
        <v>151.03</v>
      </c>
      <c r="T14" s="373">
        <f t="shared" si="7"/>
        <v>308.65999999999997</v>
      </c>
      <c r="U14" s="374">
        <f t="shared" si="7"/>
        <v>137.16</v>
      </c>
      <c r="V14" s="375">
        <f t="shared" si="7"/>
        <v>14313.130000000001</v>
      </c>
      <c r="W14" s="376">
        <f t="shared" si="7"/>
        <v>12590.109999999999</v>
      </c>
      <c r="X14" s="373">
        <f t="shared" si="7"/>
        <v>8472.4369999999999</v>
      </c>
      <c r="Y14" s="376">
        <f t="shared" si="7"/>
        <v>1965.1999999999998</v>
      </c>
      <c r="Z14" s="373">
        <f t="shared" si="7"/>
        <v>241.39</v>
      </c>
      <c r="AA14" s="376">
        <f t="shared" si="7"/>
        <v>177.2</v>
      </c>
      <c r="AB14" s="1168">
        <f t="shared" si="7"/>
        <v>944.54</v>
      </c>
      <c r="AC14" s="1170">
        <f t="shared" si="7"/>
        <v>1211.8899999999999</v>
      </c>
      <c r="AD14" s="373">
        <f t="shared" si="7"/>
        <v>3716.7200000000003</v>
      </c>
      <c r="AE14" s="374">
        <f t="shared" si="7"/>
        <v>2841.02</v>
      </c>
      <c r="AF14" s="375">
        <f t="shared" si="7"/>
        <v>876.33000000000015</v>
      </c>
      <c r="AG14" s="376">
        <f t="shared" si="7"/>
        <v>806.41000000000008</v>
      </c>
      <c r="AH14" s="373">
        <f t="shared" ref="AH14:AU14" si="8">AH12+AH13</f>
        <v>924.09999999999991</v>
      </c>
      <c r="AI14" s="376">
        <f t="shared" si="8"/>
        <v>587.52699999999993</v>
      </c>
      <c r="AJ14" s="373">
        <f t="shared" si="8"/>
        <v>93.320000000000007</v>
      </c>
      <c r="AK14" s="376">
        <f t="shared" si="8"/>
        <v>299.24</v>
      </c>
      <c r="AL14" s="373">
        <f t="shared" si="8"/>
        <v>0</v>
      </c>
      <c r="AM14" s="374">
        <f t="shared" si="8"/>
        <v>0</v>
      </c>
      <c r="AN14" s="375">
        <f t="shared" si="8"/>
        <v>8682.75</v>
      </c>
      <c r="AO14" s="376">
        <f t="shared" si="8"/>
        <v>8957.66</v>
      </c>
      <c r="AP14" s="373">
        <f t="shared" si="8"/>
        <v>477.49</v>
      </c>
      <c r="AQ14" s="376">
        <f t="shared" si="8"/>
        <v>494.37</v>
      </c>
      <c r="AR14" s="373">
        <f t="shared" si="8"/>
        <v>1637.18</v>
      </c>
      <c r="AS14" s="376">
        <f t="shared" si="8"/>
        <v>775.46</v>
      </c>
      <c r="AT14" s="373">
        <f t="shared" si="8"/>
        <v>568.32999999999993</v>
      </c>
      <c r="AU14" s="373">
        <f t="shared" si="8"/>
        <v>348.12</v>
      </c>
      <c r="AV14" s="375">
        <f t="shared" si="0"/>
        <v>52322.217000000004</v>
      </c>
      <c r="AW14" s="1171">
        <f t="shared" si="1"/>
        <v>37185.977000000006</v>
      </c>
      <c r="AX14" s="1172">
        <f>AX12+AX13</f>
        <v>173259.87</v>
      </c>
      <c r="AY14" s="1173">
        <f>AY12+AY13</f>
        <v>143938.56999999998</v>
      </c>
      <c r="AZ14" s="375">
        <f t="shared" si="2"/>
        <v>225582.087</v>
      </c>
      <c r="BA14" s="1170">
        <f t="shared" si="3"/>
        <v>181124.54699999999</v>
      </c>
    </row>
  </sheetData>
  <mergeCells count="29">
    <mergeCell ref="A1:AY1"/>
    <mergeCell ref="A2:AY2"/>
    <mergeCell ref="A3:A4"/>
    <mergeCell ref="J3:K3"/>
    <mergeCell ref="Z3:AA3"/>
    <mergeCell ref="AB3:AC3"/>
    <mergeCell ref="AD3:AE3"/>
    <mergeCell ref="L3:M3"/>
    <mergeCell ref="F3:G3"/>
    <mergeCell ref="H3:I3"/>
    <mergeCell ref="N3:O3"/>
    <mergeCell ref="D3:E3"/>
    <mergeCell ref="B3:C3"/>
    <mergeCell ref="X3:Y3"/>
    <mergeCell ref="V3:W3"/>
    <mergeCell ref="P3:Q3"/>
    <mergeCell ref="R3:S3"/>
    <mergeCell ref="T3:U3"/>
    <mergeCell ref="AZ3:BA3"/>
    <mergeCell ref="AX3:AY3"/>
    <mergeCell ref="AV3:AW3"/>
    <mergeCell ref="AP3:AQ3"/>
    <mergeCell ref="AR3:AS3"/>
    <mergeCell ref="AT3:AU3"/>
    <mergeCell ref="AN3:AO3"/>
    <mergeCell ref="AL3:AM3"/>
    <mergeCell ref="AJ3:AK3"/>
    <mergeCell ref="AH3:AI3"/>
    <mergeCell ref="AF3:AG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BA14"/>
  <sheetViews>
    <sheetView workbookViewId="0">
      <pane xSplit="1" topLeftCell="B1" activePane="topRight" state="frozen"/>
      <selection pane="topRight" activeCell="AR11" sqref="AR11"/>
    </sheetView>
  </sheetViews>
  <sheetFormatPr defaultRowHeight="14.25" x14ac:dyDescent="0.3"/>
  <cols>
    <col min="1" max="1" width="26.7109375" style="9" customWidth="1"/>
    <col min="2" max="15" width="12.42578125" style="9" bestFit="1" customWidth="1"/>
    <col min="16" max="17" width="12.42578125" style="33" bestFit="1" customWidth="1"/>
    <col min="18" max="25" width="12.42578125" style="9" bestFit="1" customWidth="1"/>
    <col min="26" max="27" width="12.42578125" style="33" bestFit="1" customWidth="1"/>
    <col min="28" max="53" width="12.42578125" style="9" bestFit="1" customWidth="1"/>
    <col min="54" max="16384" width="9.140625" style="9"/>
  </cols>
  <sheetData>
    <row r="1" spans="1:53" x14ac:dyDescent="0.3">
      <c r="A1" s="1450" t="s">
        <v>13</v>
      </c>
      <c r="B1" s="1450"/>
      <c r="C1" s="1450"/>
      <c r="D1" s="1450"/>
      <c r="E1" s="1450"/>
      <c r="F1" s="1450"/>
      <c r="G1" s="1450"/>
      <c r="H1" s="1450"/>
      <c r="I1" s="1450"/>
      <c r="J1" s="1450"/>
      <c r="K1" s="1450"/>
      <c r="L1" s="1450"/>
      <c r="M1" s="1450"/>
      <c r="N1" s="1450"/>
      <c r="O1" s="1450"/>
      <c r="P1" s="1450"/>
      <c r="Q1" s="1450"/>
      <c r="R1" s="1450"/>
      <c r="S1" s="1450"/>
      <c r="T1" s="1450"/>
      <c r="U1" s="1450"/>
      <c r="V1" s="1450"/>
      <c r="W1" s="1450"/>
      <c r="X1" s="1450"/>
      <c r="Y1" s="1450"/>
      <c r="Z1" s="1450"/>
      <c r="AA1" s="1450"/>
      <c r="AB1" s="1450"/>
      <c r="AC1" s="1450"/>
      <c r="AD1" s="1450"/>
      <c r="AE1" s="1450"/>
      <c r="AF1" s="1450"/>
      <c r="AG1" s="1450"/>
      <c r="AH1" s="1450"/>
      <c r="AI1" s="1450"/>
      <c r="AJ1" s="1450"/>
      <c r="AK1" s="1450"/>
      <c r="AL1" s="1450"/>
      <c r="AM1" s="1450"/>
      <c r="AN1" s="1450"/>
      <c r="AO1" s="1450"/>
      <c r="AP1" s="1450"/>
      <c r="AQ1" s="1450"/>
      <c r="AR1" s="1450"/>
      <c r="AS1" s="1450"/>
      <c r="AT1" s="1450"/>
      <c r="AU1" s="1450"/>
      <c r="AV1" s="1450"/>
      <c r="AW1" s="1450"/>
      <c r="AX1" s="1450"/>
      <c r="AY1" s="1450"/>
    </row>
    <row r="2" spans="1:53" ht="15" thickBot="1" x14ac:dyDescent="0.35">
      <c r="A2" s="1417"/>
      <c r="B2" s="1417"/>
      <c r="C2" s="1417"/>
      <c r="D2" s="1417"/>
      <c r="E2" s="1417"/>
      <c r="F2" s="1417"/>
      <c r="G2" s="1417"/>
      <c r="H2" s="1417"/>
      <c r="I2" s="1417"/>
      <c r="J2" s="1417"/>
      <c r="K2" s="1417"/>
      <c r="L2" s="1417"/>
      <c r="M2" s="1417"/>
      <c r="N2" s="1417"/>
      <c r="O2" s="1417"/>
      <c r="P2" s="1417"/>
      <c r="Q2" s="1417"/>
      <c r="R2" s="1417"/>
      <c r="S2" s="1417"/>
      <c r="T2" s="1417"/>
      <c r="U2" s="1417"/>
      <c r="V2" s="1417"/>
      <c r="W2" s="1417"/>
      <c r="X2" s="1417"/>
      <c r="Y2" s="1417"/>
      <c r="Z2" s="1417"/>
      <c r="AA2" s="1417"/>
      <c r="AB2" s="1417"/>
      <c r="AC2" s="1417"/>
      <c r="AD2" s="1417"/>
      <c r="AE2" s="1417"/>
      <c r="AF2" s="1417"/>
      <c r="AG2" s="1417"/>
      <c r="AH2" s="1417"/>
      <c r="AI2" s="1417"/>
      <c r="AJ2" s="1417"/>
      <c r="AK2" s="1417"/>
      <c r="AL2" s="1417"/>
      <c r="AM2" s="1417"/>
      <c r="AN2" s="1417"/>
      <c r="AO2" s="1417"/>
      <c r="AP2" s="1417"/>
      <c r="AQ2" s="1417"/>
      <c r="AR2" s="1417"/>
      <c r="AS2" s="1417"/>
      <c r="AT2" s="1417"/>
      <c r="AU2" s="1417"/>
      <c r="AV2" s="1417"/>
      <c r="AW2" s="1417"/>
      <c r="AX2" s="1417"/>
      <c r="AY2" s="1417"/>
    </row>
    <row r="3" spans="1:53" s="697" customFormat="1" ht="28.5" customHeight="1" thickBot="1" x14ac:dyDescent="0.3">
      <c r="A3" s="1464" t="s">
        <v>0</v>
      </c>
      <c r="B3" s="1467" t="s">
        <v>158</v>
      </c>
      <c r="C3" s="1468"/>
      <c r="D3" s="1467" t="s">
        <v>159</v>
      </c>
      <c r="E3" s="1468"/>
      <c r="F3" s="1467" t="s">
        <v>160</v>
      </c>
      <c r="G3" s="1468"/>
      <c r="H3" s="1467" t="s">
        <v>161</v>
      </c>
      <c r="I3" s="1468"/>
      <c r="J3" s="1467" t="s">
        <v>162</v>
      </c>
      <c r="K3" s="1468"/>
      <c r="L3" s="1467" t="s">
        <v>163</v>
      </c>
      <c r="M3" s="1468"/>
      <c r="N3" s="1467" t="s">
        <v>312</v>
      </c>
      <c r="O3" s="1468"/>
      <c r="P3" s="1470" t="s">
        <v>164</v>
      </c>
      <c r="Q3" s="1471"/>
      <c r="R3" s="1467" t="s">
        <v>165</v>
      </c>
      <c r="S3" s="1468"/>
      <c r="T3" s="1467" t="s">
        <v>166</v>
      </c>
      <c r="U3" s="1468"/>
      <c r="V3" s="1467" t="s">
        <v>167</v>
      </c>
      <c r="W3" s="1468"/>
      <c r="X3" s="1467" t="s">
        <v>168</v>
      </c>
      <c r="Y3" s="1468"/>
      <c r="Z3" s="1470" t="s">
        <v>381</v>
      </c>
      <c r="AA3" s="1471"/>
      <c r="AB3" s="1467" t="s">
        <v>169</v>
      </c>
      <c r="AC3" s="1468"/>
      <c r="AD3" s="1472" t="s">
        <v>170</v>
      </c>
      <c r="AE3" s="1473"/>
      <c r="AF3" s="1467" t="s">
        <v>171</v>
      </c>
      <c r="AG3" s="1468"/>
      <c r="AH3" s="1469" t="s">
        <v>172</v>
      </c>
      <c r="AI3" s="1468"/>
      <c r="AJ3" s="1467" t="s">
        <v>173</v>
      </c>
      <c r="AK3" s="1468"/>
      <c r="AL3" s="1472" t="s">
        <v>174</v>
      </c>
      <c r="AM3" s="1473"/>
      <c r="AN3" s="1467" t="s">
        <v>175</v>
      </c>
      <c r="AO3" s="1468"/>
      <c r="AP3" s="1467" t="s">
        <v>176</v>
      </c>
      <c r="AQ3" s="1468"/>
      <c r="AR3" s="1467" t="s">
        <v>177</v>
      </c>
      <c r="AS3" s="1468"/>
      <c r="AT3" s="1467" t="s">
        <v>178</v>
      </c>
      <c r="AU3" s="1468"/>
      <c r="AV3" s="1467" t="s">
        <v>1</v>
      </c>
      <c r="AW3" s="1468"/>
      <c r="AX3" s="1474" t="s">
        <v>179</v>
      </c>
      <c r="AY3" s="1475"/>
      <c r="AZ3" s="1472" t="s">
        <v>2</v>
      </c>
      <c r="BA3" s="1473"/>
    </row>
    <row r="4" spans="1:53" s="360" customFormat="1" ht="15" thickBot="1" x14ac:dyDescent="0.35">
      <c r="A4" s="1465"/>
      <c r="B4" s="965" t="s">
        <v>437</v>
      </c>
      <c r="C4" s="966" t="s">
        <v>420</v>
      </c>
      <c r="D4" s="965" t="s">
        <v>437</v>
      </c>
      <c r="E4" s="966" t="s">
        <v>420</v>
      </c>
      <c r="F4" s="965" t="s">
        <v>437</v>
      </c>
      <c r="G4" s="966" t="s">
        <v>420</v>
      </c>
      <c r="H4" s="965" t="s">
        <v>437</v>
      </c>
      <c r="I4" s="966" t="s">
        <v>420</v>
      </c>
      <c r="J4" s="965" t="s">
        <v>437</v>
      </c>
      <c r="K4" s="966" t="s">
        <v>420</v>
      </c>
      <c r="L4" s="965" t="s">
        <v>437</v>
      </c>
      <c r="M4" s="966" t="s">
        <v>420</v>
      </c>
      <c r="N4" s="965" t="s">
        <v>437</v>
      </c>
      <c r="O4" s="966" t="s">
        <v>420</v>
      </c>
      <c r="P4" s="965" t="s">
        <v>437</v>
      </c>
      <c r="Q4" s="966" t="s">
        <v>420</v>
      </c>
      <c r="R4" s="965" t="s">
        <v>437</v>
      </c>
      <c r="S4" s="966" t="s">
        <v>420</v>
      </c>
      <c r="T4" s="965" t="s">
        <v>437</v>
      </c>
      <c r="U4" s="966" t="s">
        <v>420</v>
      </c>
      <c r="V4" s="965" t="s">
        <v>437</v>
      </c>
      <c r="W4" s="966" t="s">
        <v>420</v>
      </c>
      <c r="X4" s="965" t="s">
        <v>437</v>
      </c>
      <c r="Y4" s="966" t="s">
        <v>420</v>
      </c>
      <c r="Z4" s="965" t="s">
        <v>437</v>
      </c>
      <c r="AA4" s="966" t="s">
        <v>420</v>
      </c>
      <c r="AB4" s="965" t="s">
        <v>437</v>
      </c>
      <c r="AC4" s="966" t="s">
        <v>420</v>
      </c>
      <c r="AD4" s="965" t="s">
        <v>437</v>
      </c>
      <c r="AE4" s="966" t="s">
        <v>420</v>
      </c>
      <c r="AF4" s="965" t="s">
        <v>437</v>
      </c>
      <c r="AG4" s="966" t="s">
        <v>420</v>
      </c>
      <c r="AH4" s="1259" t="s">
        <v>437</v>
      </c>
      <c r="AI4" s="966" t="s">
        <v>420</v>
      </c>
      <c r="AJ4" s="965" t="s">
        <v>437</v>
      </c>
      <c r="AK4" s="966" t="s">
        <v>420</v>
      </c>
      <c r="AL4" s="965" t="s">
        <v>437</v>
      </c>
      <c r="AM4" s="966" t="s">
        <v>420</v>
      </c>
      <c r="AN4" s="965" t="s">
        <v>437</v>
      </c>
      <c r="AO4" s="966" t="s">
        <v>420</v>
      </c>
      <c r="AP4" s="965" t="s">
        <v>437</v>
      </c>
      <c r="AQ4" s="966" t="s">
        <v>420</v>
      </c>
      <c r="AR4" s="965" t="s">
        <v>437</v>
      </c>
      <c r="AS4" s="966" t="s">
        <v>420</v>
      </c>
      <c r="AT4" s="965" t="s">
        <v>437</v>
      </c>
      <c r="AU4" s="966" t="s">
        <v>420</v>
      </c>
      <c r="AV4" s="965" t="s">
        <v>437</v>
      </c>
      <c r="AW4" s="966" t="s">
        <v>420</v>
      </c>
      <c r="AX4" s="965" t="s">
        <v>437</v>
      </c>
      <c r="AY4" s="966" t="s">
        <v>420</v>
      </c>
      <c r="AZ4" s="965" t="s">
        <v>437</v>
      </c>
      <c r="BA4" s="966" t="s">
        <v>420</v>
      </c>
    </row>
    <row r="5" spans="1:53" s="602" customFormat="1" ht="13.5" x14ac:dyDescent="0.25">
      <c r="A5" s="293" t="s">
        <v>3</v>
      </c>
      <c r="B5" s="416">
        <v>46439</v>
      </c>
      <c r="C5" s="417">
        <v>3586</v>
      </c>
      <c r="D5" s="416"/>
      <c r="E5" s="417"/>
      <c r="F5" s="416">
        <v>170</v>
      </c>
      <c r="G5" s="417">
        <v>1974</v>
      </c>
      <c r="H5" s="416">
        <v>1522</v>
      </c>
      <c r="I5" s="417">
        <v>4809</v>
      </c>
      <c r="J5" s="416"/>
      <c r="K5" s="417"/>
      <c r="L5" s="416"/>
      <c r="M5" s="417"/>
      <c r="N5" s="416"/>
      <c r="O5" s="417"/>
      <c r="P5" s="416"/>
      <c r="Q5" s="417">
        <v>38</v>
      </c>
      <c r="R5" s="416"/>
      <c r="S5" s="417"/>
      <c r="T5" s="416">
        <v>9</v>
      </c>
      <c r="U5" s="417">
        <v>380</v>
      </c>
      <c r="V5" s="416">
        <v>3554</v>
      </c>
      <c r="W5" s="417">
        <v>1366</v>
      </c>
      <c r="X5" s="416">
        <v>90760</v>
      </c>
      <c r="Y5" s="417">
        <v>68121</v>
      </c>
      <c r="Z5" s="416">
        <v>4023</v>
      </c>
      <c r="AA5" s="607">
        <v>3292</v>
      </c>
      <c r="AB5" s="34"/>
      <c r="AC5" s="183"/>
      <c r="AD5" s="416">
        <v>-524</v>
      </c>
      <c r="AE5" s="417">
        <v>858</v>
      </c>
      <c r="AF5" s="420">
        <v>6195</v>
      </c>
      <c r="AG5" s="417">
        <v>194</v>
      </c>
      <c r="AH5" s="415">
        <v>1152</v>
      </c>
      <c r="AI5" s="417">
        <v>3848</v>
      </c>
      <c r="AJ5" s="416"/>
      <c r="AK5" s="417"/>
      <c r="AL5" s="416"/>
      <c r="AM5" s="417"/>
      <c r="AN5" s="598">
        <v>152913</v>
      </c>
      <c r="AO5" s="599">
        <v>53723</v>
      </c>
      <c r="AP5" s="416"/>
      <c r="AQ5" s="417"/>
      <c r="AR5" s="416"/>
      <c r="AS5" s="417"/>
      <c r="AT5" s="416">
        <v>9961</v>
      </c>
      <c r="AU5" s="417">
        <v>9411</v>
      </c>
      <c r="AV5" s="415">
        <f t="shared" ref="AV5:AV14" si="0">SUM(B5+D5+F5+H5+J5+L5+N5+P5+R5+T5+V5+X5+Z5+P5+AD5+AF5+AH5+AJ5+AL5+AN5+AP5+AR5+AT5)</f>
        <v>316174</v>
      </c>
      <c r="AW5" s="608">
        <f t="shared" ref="AW5:AW14" si="1">SUM(C5+E5+G5+I5+K5+M5+O5+Q5+S5+U5+W5+Y5+AA5+Q5+AE5+AG5+AI5+AK5+AM5+AO5+AQ5+AS5+AU5)</f>
        <v>151638</v>
      </c>
      <c r="AX5" s="417">
        <v>1660501</v>
      </c>
      <c r="AY5" s="417">
        <v>1790160</v>
      </c>
      <c r="AZ5" s="415">
        <f t="shared" ref="AZ5:AZ14" si="2">AV5+AX5</f>
        <v>1976675</v>
      </c>
      <c r="BA5" s="608">
        <f t="shared" ref="BA5:BA14" si="3">AW5+AY5</f>
        <v>1941798</v>
      </c>
    </row>
    <row r="6" spans="1:53" s="602" customFormat="1" ht="13.5" x14ac:dyDescent="0.25">
      <c r="A6" s="293" t="s">
        <v>4</v>
      </c>
      <c r="B6" s="10">
        <v>15302</v>
      </c>
      <c r="C6" s="13">
        <v>1119</v>
      </c>
      <c r="D6" s="28"/>
      <c r="E6" s="30"/>
      <c r="F6" s="28">
        <v>51698</v>
      </c>
      <c r="G6" s="30">
        <v>22723</v>
      </c>
      <c r="H6" s="28">
        <v>11768803</v>
      </c>
      <c r="I6" s="30">
        <v>12030558</v>
      </c>
      <c r="J6" s="28">
        <v>444918</v>
      </c>
      <c r="K6" s="30">
        <v>250475</v>
      </c>
      <c r="L6" s="28">
        <v>5831605</v>
      </c>
      <c r="M6" s="30">
        <v>3831268</v>
      </c>
      <c r="N6" s="28"/>
      <c r="O6" s="30">
        <v>1</v>
      </c>
      <c r="P6" s="28">
        <v>267741</v>
      </c>
      <c r="Q6" s="30">
        <v>310666</v>
      </c>
      <c r="R6" s="28"/>
      <c r="S6" s="30">
        <v>310</v>
      </c>
      <c r="T6" s="28">
        <v>4419</v>
      </c>
      <c r="U6" s="30">
        <v>8373</v>
      </c>
      <c r="V6" s="28">
        <v>29096901</v>
      </c>
      <c r="W6" s="30">
        <v>25090271</v>
      </c>
      <c r="X6" s="28">
        <v>3376602</v>
      </c>
      <c r="Y6" s="30">
        <v>1962381</v>
      </c>
      <c r="Z6" s="603">
        <v>43748</v>
      </c>
      <c r="AA6" s="604">
        <v>23559</v>
      </c>
      <c r="AB6" s="28">
        <v>302538</v>
      </c>
      <c r="AC6" s="30">
        <v>394086</v>
      </c>
      <c r="AD6" s="28">
        <v>4198348</v>
      </c>
      <c r="AE6" s="30">
        <v>4504280</v>
      </c>
      <c r="AF6" s="1300">
        <v>3644314</v>
      </c>
      <c r="AG6" s="30">
        <v>2563932</v>
      </c>
      <c r="AH6" s="29">
        <v>816173</v>
      </c>
      <c r="AI6" s="30">
        <v>213058</v>
      </c>
      <c r="AJ6" s="28"/>
      <c r="AK6" s="30"/>
      <c r="AL6" s="28"/>
      <c r="AM6" s="30"/>
      <c r="AN6" s="600">
        <v>1387052</v>
      </c>
      <c r="AO6" s="601">
        <v>697256</v>
      </c>
      <c r="AP6" s="605"/>
      <c r="AQ6" s="606"/>
      <c r="AR6" s="26">
        <v>6792838</v>
      </c>
      <c r="AS6" s="27">
        <v>5652800</v>
      </c>
      <c r="AT6" s="28">
        <v>14942</v>
      </c>
      <c r="AU6" s="30">
        <v>8557</v>
      </c>
      <c r="AV6" s="12">
        <f t="shared" si="0"/>
        <v>68023145</v>
      </c>
      <c r="AW6" s="268">
        <f t="shared" si="1"/>
        <v>57482253</v>
      </c>
      <c r="AX6" s="27">
        <v>47844</v>
      </c>
      <c r="AY6" s="27">
        <v>75454</v>
      </c>
      <c r="AZ6" s="12">
        <f t="shared" si="2"/>
        <v>68070989</v>
      </c>
      <c r="BA6" s="268">
        <f t="shared" si="3"/>
        <v>57557707</v>
      </c>
    </row>
    <row r="7" spans="1:53" s="602" customFormat="1" ht="13.5" x14ac:dyDescent="0.25">
      <c r="A7" s="293" t="s">
        <v>5</v>
      </c>
      <c r="B7" s="10">
        <v>2164928</v>
      </c>
      <c r="C7" s="13">
        <v>97168</v>
      </c>
      <c r="D7" s="28">
        <v>13167</v>
      </c>
      <c r="E7" s="30">
        <v>4845</v>
      </c>
      <c r="F7" s="28"/>
      <c r="G7" s="30"/>
      <c r="H7" s="28">
        <v>1128738</v>
      </c>
      <c r="I7" s="30">
        <v>266408</v>
      </c>
      <c r="J7" s="28">
        <v>58</v>
      </c>
      <c r="K7" s="30">
        <v>517</v>
      </c>
      <c r="L7" s="28">
        <v>16663</v>
      </c>
      <c r="M7" s="30">
        <v>20060</v>
      </c>
      <c r="N7" s="28">
        <v>283289</v>
      </c>
      <c r="O7" s="30">
        <v>39060</v>
      </c>
      <c r="P7" s="28"/>
      <c r="Q7" s="30"/>
      <c r="R7" s="28"/>
      <c r="S7" s="30">
        <v>2</v>
      </c>
      <c r="T7" s="28"/>
      <c r="U7" s="30">
        <v>50</v>
      </c>
      <c r="V7" s="28">
        <v>7928305</v>
      </c>
      <c r="W7" s="30">
        <v>4733087</v>
      </c>
      <c r="X7" s="28">
        <v>2712091</v>
      </c>
      <c r="Y7" s="30">
        <v>2190090</v>
      </c>
      <c r="Z7" s="603"/>
      <c r="AA7" s="604"/>
      <c r="AB7" s="28">
        <v>189770</v>
      </c>
      <c r="AC7" s="30"/>
      <c r="AD7" s="28">
        <v>4464093</v>
      </c>
      <c r="AE7" s="30">
        <v>3975942</v>
      </c>
      <c r="AF7" s="1300">
        <v>20985</v>
      </c>
      <c r="AG7" s="30">
        <v>14618</v>
      </c>
      <c r="AH7" s="29">
        <v>44939</v>
      </c>
      <c r="AI7" s="30">
        <v>21009</v>
      </c>
      <c r="AJ7" s="28"/>
      <c r="AK7" s="30"/>
      <c r="AL7" s="28"/>
      <c r="AM7" s="30"/>
      <c r="AN7" s="600">
        <v>2538</v>
      </c>
      <c r="AO7" s="601">
        <v>5406</v>
      </c>
      <c r="AP7" s="605">
        <v>2214071</v>
      </c>
      <c r="AQ7" s="606">
        <v>730524</v>
      </c>
      <c r="AR7" s="26">
        <v>99</v>
      </c>
      <c r="AS7" s="27"/>
      <c r="AT7" s="28">
        <v>16231</v>
      </c>
      <c r="AU7" s="30">
        <v>1005</v>
      </c>
      <c r="AV7" s="12">
        <f t="shared" si="0"/>
        <v>21010195</v>
      </c>
      <c r="AW7" s="268">
        <f t="shared" si="1"/>
        <v>12099791</v>
      </c>
      <c r="AX7" s="27">
        <v>822899</v>
      </c>
      <c r="AY7" s="27">
        <v>611074</v>
      </c>
      <c r="AZ7" s="12">
        <f t="shared" si="2"/>
        <v>21833094</v>
      </c>
      <c r="BA7" s="268">
        <f t="shared" si="3"/>
        <v>12710865</v>
      </c>
    </row>
    <row r="8" spans="1:53" s="602" customFormat="1" ht="13.5" x14ac:dyDescent="0.25">
      <c r="A8" s="293" t="s">
        <v>6</v>
      </c>
      <c r="B8" s="10">
        <v>973499</v>
      </c>
      <c r="C8" s="13">
        <v>116388</v>
      </c>
      <c r="D8" s="28">
        <v>109170</v>
      </c>
      <c r="E8" s="30">
        <v>47493</v>
      </c>
      <c r="F8" s="28">
        <v>514887</v>
      </c>
      <c r="G8" s="30">
        <v>171266</v>
      </c>
      <c r="H8" s="28">
        <v>2408021</v>
      </c>
      <c r="I8" s="30">
        <v>392046</v>
      </c>
      <c r="J8" s="28">
        <v>64</v>
      </c>
      <c r="K8" s="30">
        <v>759</v>
      </c>
      <c r="L8" s="28">
        <v>90829</v>
      </c>
      <c r="M8" s="30">
        <v>95018</v>
      </c>
      <c r="N8" s="28">
        <v>1541463</v>
      </c>
      <c r="O8" s="30">
        <v>131778</v>
      </c>
      <c r="P8" s="28">
        <v>219</v>
      </c>
      <c r="Q8" s="30">
        <v>9853</v>
      </c>
      <c r="R8" s="28"/>
      <c r="S8" s="30">
        <v>1236059</v>
      </c>
      <c r="T8" s="28">
        <v>42214</v>
      </c>
      <c r="U8" s="30">
        <v>31691</v>
      </c>
      <c r="V8" s="28">
        <v>5424797</v>
      </c>
      <c r="W8" s="30">
        <v>4505586</v>
      </c>
      <c r="X8" s="28">
        <v>3701747</v>
      </c>
      <c r="Y8" s="30">
        <v>2329968</v>
      </c>
      <c r="Z8" s="603"/>
      <c r="AA8" s="604"/>
      <c r="AB8" s="28">
        <v>986401</v>
      </c>
      <c r="AC8" s="30">
        <v>156704</v>
      </c>
      <c r="AD8" s="28">
        <v>2262848</v>
      </c>
      <c r="AE8" s="30">
        <v>1393987</v>
      </c>
      <c r="AF8" s="1300">
        <v>110501</v>
      </c>
      <c r="AG8" s="30">
        <v>66088</v>
      </c>
      <c r="AH8" s="29">
        <v>1221530</v>
      </c>
      <c r="AI8" s="30">
        <v>1353498</v>
      </c>
      <c r="AJ8" s="28">
        <v>31499</v>
      </c>
      <c r="AK8" s="30">
        <v>31392</v>
      </c>
      <c r="AL8" s="28"/>
      <c r="AM8" s="30"/>
      <c r="AN8" s="600">
        <v>608577</v>
      </c>
      <c r="AO8" s="601">
        <v>580477</v>
      </c>
      <c r="AP8" s="605">
        <v>52596</v>
      </c>
      <c r="AQ8" s="606">
        <v>193063</v>
      </c>
      <c r="AR8" s="26">
        <v>18682</v>
      </c>
      <c r="AS8" s="27">
        <v>28889</v>
      </c>
      <c r="AT8" s="28">
        <v>924128</v>
      </c>
      <c r="AU8" s="30">
        <v>650609</v>
      </c>
      <c r="AV8" s="12">
        <f t="shared" si="0"/>
        <v>20037490</v>
      </c>
      <c r="AW8" s="268">
        <f t="shared" si="1"/>
        <v>13375761</v>
      </c>
      <c r="AX8" s="27">
        <v>532985</v>
      </c>
      <c r="AY8" s="27">
        <v>577855</v>
      </c>
      <c r="AZ8" s="12">
        <f t="shared" si="2"/>
        <v>20570475</v>
      </c>
      <c r="BA8" s="268">
        <f t="shared" si="3"/>
        <v>13953616</v>
      </c>
    </row>
    <row r="9" spans="1:53" s="602" customFormat="1" ht="13.5" x14ac:dyDescent="0.25">
      <c r="A9" s="293" t="s">
        <v>7</v>
      </c>
      <c r="B9" s="10"/>
      <c r="C9" s="13"/>
      <c r="D9" s="28"/>
      <c r="E9" s="30"/>
      <c r="F9" s="28"/>
      <c r="G9" s="30"/>
      <c r="H9" s="28">
        <v>535147</v>
      </c>
      <c r="I9" s="30">
        <v>1590467</v>
      </c>
      <c r="J9" s="28"/>
      <c r="K9" s="30"/>
      <c r="L9" s="28"/>
      <c r="M9" s="30"/>
      <c r="N9" s="28">
        <v>120392</v>
      </c>
      <c r="O9" s="30">
        <v>128617</v>
      </c>
      <c r="P9" s="28"/>
      <c r="Q9" s="30"/>
      <c r="R9" s="28"/>
      <c r="S9" s="30"/>
      <c r="T9" s="28"/>
      <c r="U9" s="30"/>
      <c r="V9" s="28">
        <v>1535845</v>
      </c>
      <c r="W9" s="30">
        <v>699239</v>
      </c>
      <c r="X9" s="28">
        <v>112</v>
      </c>
      <c r="Y9" s="30"/>
      <c r="Z9" s="603"/>
      <c r="AA9" s="604"/>
      <c r="AB9" s="28">
        <v>1081464</v>
      </c>
      <c r="AC9" s="30"/>
      <c r="AD9" s="28">
        <v>4569914</v>
      </c>
      <c r="AE9" s="30">
        <v>3324688</v>
      </c>
      <c r="AF9" s="1300"/>
      <c r="AG9" s="30"/>
      <c r="AH9" s="29"/>
      <c r="AI9" s="30"/>
      <c r="AJ9" s="28"/>
      <c r="AK9" s="30"/>
      <c r="AL9" s="28"/>
      <c r="AM9" s="30"/>
      <c r="AN9" s="600">
        <v>126</v>
      </c>
      <c r="AO9" s="601"/>
      <c r="AP9" s="605"/>
      <c r="AQ9" s="606"/>
      <c r="AR9" s="26"/>
      <c r="AS9" s="27"/>
      <c r="AT9" s="28"/>
      <c r="AU9" s="30"/>
      <c r="AV9" s="12">
        <f t="shared" si="0"/>
        <v>6761536</v>
      </c>
      <c r="AW9" s="268">
        <f t="shared" si="1"/>
        <v>5743011</v>
      </c>
      <c r="AX9" s="27"/>
      <c r="AY9" s="27"/>
      <c r="AZ9" s="12">
        <f t="shared" si="2"/>
        <v>6761536</v>
      </c>
      <c r="BA9" s="268">
        <f t="shared" si="3"/>
        <v>5743011</v>
      </c>
    </row>
    <row r="10" spans="1:53" s="602" customFormat="1" ht="13.5" x14ac:dyDescent="0.25">
      <c r="A10" s="293" t="s">
        <v>8</v>
      </c>
      <c r="B10" s="10">
        <v>2318368</v>
      </c>
      <c r="C10" s="13">
        <v>57133</v>
      </c>
      <c r="D10" s="28">
        <v>29374</v>
      </c>
      <c r="E10" s="30">
        <v>27899</v>
      </c>
      <c r="F10" s="28">
        <v>166485</v>
      </c>
      <c r="G10" s="30">
        <v>51844</v>
      </c>
      <c r="H10" s="28">
        <v>11757112</v>
      </c>
      <c r="I10" s="30">
        <v>13953891</v>
      </c>
      <c r="J10" s="28">
        <v>32736</v>
      </c>
      <c r="K10" s="30">
        <v>243264</v>
      </c>
      <c r="L10" s="28">
        <v>20962</v>
      </c>
      <c r="M10" s="30">
        <v>91554</v>
      </c>
      <c r="N10" s="28">
        <v>360653</v>
      </c>
      <c r="O10" s="30">
        <v>749710</v>
      </c>
      <c r="P10" s="28">
        <v>5989</v>
      </c>
      <c r="Q10" s="30">
        <v>30002</v>
      </c>
      <c r="R10" s="28"/>
      <c r="S10" s="30">
        <v>-134300</v>
      </c>
      <c r="T10" s="28">
        <v>60968</v>
      </c>
      <c r="U10" s="30">
        <v>69261</v>
      </c>
      <c r="V10" s="28">
        <v>23285735</v>
      </c>
      <c r="W10" s="30">
        <v>18147233</v>
      </c>
      <c r="X10" s="28">
        <v>37628292</v>
      </c>
      <c r="Y10" s="30">
        <v>26633125</v>
      </c>
      <c r="Z10" s="603">
        <v>28294</v>
      </c>
      <c r="AA10" s="604">
        <v>3684</v>
      </c>
      <c r="AB10" s="28">
        <v>6052872</v>
      </c>
      <c r="AC10" s="30">
        <v>4937106</v>
      </c>
      <c r="AD10" s="31">
        <v>8490353</v>
      </c>
      <c r="AE10" s="32">
        <v>7937739</v>
      </c>
      <c r="AF10" s="1300">
        <v>397257</v>
      </c>
      <c r="AG10" s="30">
        <v>1028047</v>
      </c>
      <c r="AH10" s="29">
        <v>598736</v>
      </c>
      <c r="AI10" s="30">
        <v>887481</v>
      </c>
      <c r="AJ10" s="28">
        <v>298169</v>
      </c>
      <c r="AK10" s="30">
        <v>190752</v>
      </c>
      <c r="AL10" s="28"/>
      <c r="AM10" s="30"/>
      <c r="AN10" s="600">
        <v>16285801</v>
      </c>
      <c r="AO10" s="601">
        <v>12351822</v>
      </c>
      <c r="AP10" s="605">
        <v>2800716</v>
      </c>
      <c r="AQ10" s="606">
        <v>5420521</v>
      </c>
      <c r="AR10" s="26">
        <v>82378</v>
      </c>
      <c r="AS10" s="27">
        <v>123430</v>
      </c>
      <c r="AT10" s="28">
        <v>553424</v>
      </c>
      <c r="AU10" s="30">
        <v>366105</v>
      </c>
      <c r="AV10" s="12">
        <f t="shared" si="0"/>
        <v>105207791</v>
      </c>
      <c r="AW10" s="268">
        <f t="shared" si="1"/>
        <v>88260199</v>
      </c>
      <c r="AX10" s="30">
        <v>33558146</v>
      </c>
      <c r="AY10" s="30">
        <v>28875555</v>
      </c>
      <c r="AZ10" s="12">
        <f t="shared" si="2"/>
        <v>138765937</v>
      </c>
      <c r="BA10" s="268">
        <f t="shared" si="3"/>
        <v>117135754</v>
      </c>
    </row>
    <row r="11" spans="1:53" s="602" customFormat="1" thickBot="1" x14ac:dyDescent="0.3">
      <c r="A11" s="293" t="s">
        <v>9</v>
      </c>
      <c r="B11" s="628"/>
      <c r="C11" s="629"/>
      <c r="D11" s="632"/>
      <c r="E11" s="633"/>
      <c r="F11" s="632"/>
      <c r="G11" s="633"/>
      <c r="H11" s="632"/>
      <c r="I11" s="633"/>
      <c r="J11" s="632"/>
      <c r="K11" s="633"/>
      <c r="L11" s="632"/>
      <c r="M11" s="633"/>
      <c r="N11" s="632"/>
      <c r="O11" s="633"/>
      <c r="P11" s="632"/>
      <c r="Q11" s="633"/>
      <c r="R11" s="632"/>
      <c r="S11" s="633"/>
      <c r="T11" s="632"/>
      <c r="U11" s="633"/>
      <c r="V11" s="632"/>
      <c r="W11" s="633"/>
      <c r="X11" s="632">
        <f>3154+908219</f>
        <v>911373</v>
      </c>
      <c r="Y11" s="633">
        <f>4949+2766+320831</f>
        <v>328546</v>
      </c>
      <c r="Z11" s="634"/>
      <c r="AA11" s="635"/>
      <c r="AB11" s="632"/>
      <c r="AC11" s="633"/>
      <c r="AD11" s="557"/>
      <c r="AE11" s="558"/>
      <c r="AF11" s="1301">
        <v>14</v>
      </c>
      <c r="AG11" s="633"/>
      <c r="AH11" s="556"/>
      <c r="AI11" s="633"/>
      <c r="AJ11" s="632"/>
      <c r="AK11" s="633"/>
      <c r="AL11" s="632"/>
      <c r="AM11" s="633"/>
      <c r="AN11" s="636"/>
      <c r="AO11" s="637"/>
      <c r="AP11" s="638"/>
      <c r="AQ11" s="639"/>
      <c r="AR11" s="640"/>
      <c r="AS11" s="641"/>
      <c r="AT11" s="632"/>
      <c r="AU11" s="633"/>
      <c r="AV11" s="569">
        <f t="shared" si="0"/>
        <v>911387</v>
      </c>
      <c r="AW11" s="555">
        <f t="shared" si="1"/>
        <v>328546</v>
      </c>
      <c r="AX11" s="632"/>
      <c r="AY11" s="633"/>
      <c r="AZ11" s="569">
        <f t="shared" si="2"/>
        <v>911387</v>
      </c>
      <c r="BA11" s="555">
        <f t="shared" si="3"/>
        <v>328546</v>
      </c>
    </row>
    <row r="12" spans="1:53" s="360" customFormat="1" ht="15" thickBot="1" x14ac:dyDescent="0.35">
      <c r="A12" s="609" t="s">
        <v>10</v>
      </c>
      <c r="B12" s="544">
        <f t="shared" ref="B12:AG12" si="4">SUM(B5:B11)</f>
        <v>5518536</v>
      </c>
      <c r="C12" s="545">
        <f t="shared" si="4"/>
        <v>275394</v>
      </c>
      <c r="D12" s="544">
        <f t="shared" si="4"/>
        <v>151711</v>
      </c>
      <c r="E12" s="545">
        <f t="shared" si="4"/>
        <v>80237</v>
      </c>
      <c r="F12" s="544">
        <f t="shared" si="4"/>
        <v>733240</v>
      </c>
      <c r="G12" s="545">
        <f t="shared" si="4"/>
        <v>247807</v>
      </c>
      <c r="H12" s="544">
        <f t="shared" si="4"/>
        <v>27599343</v>
      </c>
      <c r="I12" s="545">
        <f t="shared" si="4"/>
        <v>28238179</v>
      </c>
      <c r="J12" s="544">
        <f t="shared" si="4"/>
        <v>477776</v>
      </c>
      <c r="K12" s="545">
        <f t="shared" si="4"/>
        <v>495015</v>
      </c>
      <c r="L12" s="544">
        <f t="shared" si="4"/>
        <v>5960059</v>
      </c>
      <c r="M12" s="545">
        <f t="shared" si="4"/>
        <v>4037900</v>
      </c>
      <c r="N12" s="544">
        <f t="shared" si="4"/>
        <v>2305797</v>
      </c>
      <c r="O12" s="545">
        <f t="shared" si="4"/>
        <v>1049166</v>
      </c>
      <c r="P12" s="544">
        <f>SUM(P5:P11)</f>
        <v>273949</v>
      </c>
      <c r="Q12" s="545">
        <f>SUM(Q5:Q11)</f>
        <v>350559</v>
      </c>
      <c r="R12" s="544">
        <f t="shared" si="4"/>
        <v>0</v>
      </c>
      <c r="S12" s="545">
        <f t="shared" si="4"/>
        <v>1102071</v>
      </c>
      <c r="T12" s="544">
        <f t="shared" si="4"/>
        <v>107610</v>
      </c>
      <c r="U12" s="545">
        <f t="shared" si="4"/>
        <v>109755</v>
      </c>
      <c r="V12" s="544">
        <f t="shared" si="4"/>
        <v>67275137</v>
      </c>
      <c r="W12" s="545">
        <f t="shared" si="4"/>
        <v>53176782</v>
      </c>
      <c r="X12" s="544">
        <f t="shared" si="4"/>
        <v>48420977</v>
      </c>
      <c r="Y12" s="545">
        <f t="shared" si="4"/>
        <v>33512231</v>
      </c>
      <c r="Z12" s="544">
        <f t="shared" si="4"/>
        <v>76065</v>
      </c>
      <c r="AA12" s="630">
        <f t="shared" si="4"/>
        <v>30535</v>
      </c>
      <c r="AB12" s="544">
        <f t="shared" si="4"/>
        <v>8613045</v>
      </c>
      <c r="AC12" s="545">
        <f t="shared" si="4"/>
        <v>5487896</v>
      </c>
      <c r="AD12" s="544">
        <f t="shared" si="4"/>
        <v>23985032</v>
      </c>
      <c r="AE12" s="545">
        <f t="shared" si="4"/>
        <v>21137494</v>
      </c>
      <c r="AF12" s="542">
        <f t="shared" si="4"/>
        <v>4179266</v>
      </c>
      <c r="AG12" s="545">
        <f t="shared" si="4"/>
        <v>3672879</v>
      </c>
      <c r="AH12" s="546">
        <f t="shared" ref="AH12:AU12" si="5">SUM(AH5:AH11)</f>
        <v>2682530</v>
      </c>
      <c r="AI12" s="545">
        <f t="shared" si="5"/>
        <v>2478894</v>
      </c>
      <c r="AJ12" s="544">
        <f t="shared" si="5"/>
        <v>329668</v>
      </c>
      <c r="AK12" s="545">
        <f t="shared" si="5"/>
        <v>222144</v>
      </c>
      <c r="AL12" s="544">
        <f t="shared" si="5"/>
        <v>0</v>
      </c>
      <c r="AM12" s="545">
        <f t="shared" si="5"/>
        <v>0</v>
      </c>
      <c r="AN12" s="544">
        <f t="shared" si="5"/>
        <v>18437007</v>
      </c>
      <c r="AO12" s="545">
        <f t="shared" si="5"/>
        <v>13688684</v>
      </c>
      <c r="AP12" s="544">
        <f t="shared" si="5"/>
        <v>5067383</v>
      </c>
      <c r="AQ12" s="545">
        <f t="shared" si="5"/>
        <v>6344108</v>
      </c>
      <c r="AR12" s="544">
        <f t="shared" si="5"/>
        <v>6893997</v>
      </c>
      <c r="AS12" s="545">
        <f t="shared" si="5"/>
        <v>5805119</v>
      </c>
      <c r="AT12" s="544">
        <f t="shared" si="5"/>
        <v>1518686</v>
      </c>
      <c r="AU12" s="545">
        <f t="shared" si="5"/>
        <v>1035687</v>
      </c>
      <c r="AV12" s="546">
        <f t="shared" si="0"/>
        <v>222267718</v>
      </c>
      <c r="AW12" s="631">
        <f t="shared" si="1"/>
        <v>177441199</v>
      </c>
      <c r="AX12" s="550">
        <f>SUM(AX5:AX11)</f>
        <v>36622375</v>
      </c>
      <c r="AY12" s="551">
        <f>SUM(AY5:AY11)</f>
        <v>31930098</v>
      </c>
      <c r="AZ12" s="546">
        <f t="shared" si="2"/>
        <v>258890093</v>
      </c>
      <c r="BA12" s="631">
        <f t="shared" si="3"/>
        <v>209371297</v>
      </c>
    </row>
    <row r="13" spans="1:53" ht="15" thickBot="1" x14ac:dyDescent="0.35">
      <c r="A13" s="286" t="s">
        <v>11</v>
      </c>
      <c r="B13" s="642"/>
      <c r="C13" s="643"/>
      <c r="D13" s="644"/>
      <c r="E13" s="645"/>
      <c r="F13" s="644"/>
      <c r="G13" s="645"/>
      <c r="H13" s="644"/>
      <c r="I13" s="645"/>
      <c r="J13" s="646"/>
      <c r="K13" s="647"/>
      <c r="L13" s="644"/>
      <c r="M13" s="645"/>
      <c r="N13" s="644"/>
      <c r="O13" s="645"/>
      <c r="P13" s="644"/>
      <c r="Q13" s="645"/>
      <c r="R13" s="644"/>
      <c r="S13" s="645"/>
      <c r="T13" s="644"/>
      <c r="U13" s="645"/>
      <c r="V13" s="644"/>
      <c r="W13" s="645"/>
      <c r="X13" s="644"/>
      <c r="Y13" s="645"/>
      <c r="Z13" s="644"/>
      <c r="AA13" s="648"/>
      <c r="AB13" s="649"/>
      <c r="AC13" s="650"/>
      <c r="AD13" s="644"/>
      <c r="AE13" s="645"/>
      <c r="AF13" s="1302"/>
      <c r="AG13" s="645"/>
      <c r="AH13" s="1201"/>
      <c r="AI13" s="645"/>
      <c r="AJ13" s="644"/>
      <c r="AK13" s="645"/>
      <c r="AL13" s="646"/>
      <c r="AM13" s="647"/>
      <c r="AN13" s="651"/>
      <c r="AO13" s="652"/>
      <c r="AP13" s="653"/>
      <c r="AQ13" s="654"/>
      <c r="AR13" s="655">
        <v>0</v>
      </c>
      <c r="AS13" s="656"/>
      <c r="AT13" s="644"/>
      <c r="AU13" s="645"/>
      <c r="AV13" s="657">
        <f t="shared" si="0"/>
        <v>0</v>
      </c>
      <c r="AW13" s="658">
        <f t="shared" si="1"/>
        <v>0</v>
      </c>
      <c r="AX13" s="655"/>
      <c r="AY13" s="656"/>
      <c r="AZ13" s="657">
        <f t="shared" si="2"/>
        <v>0</v>
      </c>
      <c r="BA13" s="658">
        <f t="shared" si="3"/>
        <v>0</v>
      </c>
    </row>
    <row r="14" spans="1:53" s="360" customFormat="1" ht="15" thickBot="1" x14ac:dyDescent="0.35">
      <c r="A14" s="609" t="s">
        <v>12</v>
      </c>
      <c r="B14" s="544">
        <f t="shared" ref="B14:AG14" si="6">B12+B13</f>
        <v>5518536</v>
      </c>
      <c r="C14" s="545">
        <f t="shared" si="6"/>
        <v>275394</v>
      </c>
      <c r="D14" s="544">
        <f t="shared" si="6"/>
        <v>151711</v>
      </c>
      <c r="E14" s="545">
        <f t="shared" si="6"/>
        <v>80237</v>
      </c>
      <c r="F14" s="544">
        <f t="shared" si="6"/>
        <v>733240</v>
      </c>
      <c r="G14" s="545">
        <f t="shared" si="6"/>
        <v>247807</v>
      </c>
      <c r="H14" s="544">
        <f t="shared" si="6"/>
        <v>27599343</v>
      </c>
      <c r="I14" s="545">
        <f t="shared" si="6"/>
        <v>28238179</v>
      </c>
      <c r="J14" s="544">
        <f t="shared" si="6"/>
        <v>477776</v>
      </c>
      <c r="K14" s="545">
        <f t="shared" si="6"/>
        <v>495015</v>
      </c>
      <c r="L14" s="544">
        <f t="shared" si="6"/>
        <v>5960059</v>
      </c>
      <c r="M14" s="545">
        <f t="shared" si="6"/>
        <v>4037900</v>
      </c>
      <c r="N14" s="544">
        <f t="shared" si="6"/>
        <v>2305797</v>
      </c>
      <c r="O14" s="545">
        <f t="shared" si="6"/>
        <v>1049166</v>
      </c>
      <c r="P14" s="544">
        <f>P12+P13</f>
        <v>273949</v>
      </c>
      <c r="Q14" s="545">
        <f>Q12+Q13</f>
        <v>350559</v>
      </c>
      <c r="R14" s="544">
        <f t="shared" si="6"/>
        <v>0</v>
      </c>
      <c r="S14" s="545">
        <f t="shared" si="6"/>
        <v>1102071</v>
      </c>
      <c r="T14" s="544">
        <f t="shared" si="6"/>
        <v>107610</v>
      </c>
      <c r="U14" s="545">
        <f t="shared" si="6"/>
        <v>109755</v>
      </c>
      <c r="V14" s="544">
        <f t="shared" si="6"/>
        <v>67275137</v>
      </c>
      <c r="W14" s="545">
        <f t="shared" si="6"/>
        <v>53176782</v>
      </c>
      <c r="X14" s="544">
        <f t="shared" si="6"/>
        <v>48420977</v>
      </c>
      <c r="Y14" s="545">
        <f t="shared" si="6"/>
        <v>33512231</v>
      </c>
      <c r="Z14" s="544">
        <f t="shared" si="6"/>
        <v>76065</v>
      </c>
      <c r="AA14" s="630">
        <f t="shared" si="6"/>
        <v>30535</v>
      </c>
      <c r="AB14" s="544">
        <f t="shared" si="6"/>
        <v>8613045</v>
      </c>
      <c r="AC14" s="545">
        <f t="shared" si="6"/>
        <v>5487896</v>
      </c>
      <c r="AD14" s="544">
        <f t="shared" si="6"/>
        <v>23985032</v>
      </c>
      <c r="AE14" s="545">
        <f t="shared" si="6"/>
        <v>21137494</v>
      </c>
      <c r="AF14" s="542">
        <f t="shared" si="6"/>
        <v>4179266</v>
      </c>
      <c r="AG14" s="545">
        <f t="shared" si="6"/>
        <v>3672879</v>
      </c>
      <c r="AH14" s="546">
        <f t="shared" ref="AH14:AU14" si="7">AH12+AH13</f>
        <v>2682530</v>
      </c>
      <c r="AI14" s="545">
        <f t="shared" si="7"/>
        <v>2478894</v>
      </c>
      <c r="AJ14" s="544">
        <f t="shared" si="7"/>
        <v>329668</v>
      </c>
      <c r="AK14" s="545">
        <f t="shared" si="7"/>
        <v>222144</v>
      </c>
      <c r="AL14" s="544">
        <f t="shared" si="7"/>
        <v>0</v>
      </c>
      <c r="AM14" s="545">
        <f t="shared" si="7"/>
        <v>0</v>
      </c>
      <c r="AN14" s="544">
        <f t="shared" si="7"/>
        <v>18437007</v>
      </c>
      <c r="AO14" s="545">
        <f t="shared" si="7"/>
        <v>13688684</v>
      </c>
      <c r="AP14" s="544">
        <f t="shared" si="7"/>
        <v>5067383</v>
      </c>
      <c r="AQ14" s="545">
        <f t="shared" si="7"/>
        <v>6344108</v>
      </c>
      <c r="AR14" s="544">
        <f t="shared" si="7"/>
        <v>6893997</v>
      </c>
      <c r="AS14" s="545">
        <f t="shared" si="7"/>
        <v>5805119</v>
      </c>
      <c r="AT14" s="544">
        <f t="shared" si="7"/>
        <v>1518686</v>
      </c>
      <c r="AU14" s="545">
        <f t="shared" si="7"/>
        <v>1035687</v>
      </c>
      <c r="AV14" s="546">
        <f t="shared" si="0"/>
        <v>222267718</v>
      </c>
      <c r="AW14" s="631">
        <f t="shared" si="1"/>
        <v>177441199</v>
      </c>
      <c r="AX14" s="550">
        <f>AX12+AX13</f>
        <v>36622375</v>
      </c>
      <c r="AY14" s="551">
        <f>AY12+AY13</f>
        <v>31930098</v>
      </c>
      <c r="AZ14" s="546">
        <f t="shared" si="2"/>
        <v>258890093</v>
      </c>
      <c r="BA14" s="631">
        <f t="shared" si="3"/>
        <v>209371297</v>
      </c>
    </row>
  </sheetData>
  <mergeCells count="29">
    <mergeCell ref="AZ3:BA3"/>
    <mergeCell ref="AX3:AY3"/>
    <mergeCell ref="AT3:AU3"/>
    <mergeCell ref="AV3:AW3"/>
    <mergeCell ref="B3:C3"/>
    <mergeCell ref="D3:E3"/>
    <mergeCell ref="F3:G3"/>
    <mergeCell ref="H3:I3"/>
    <mergeCell ref="J3:K3"/>
    <mergeCell ref="L3:M3"/>
    <mergeCell ref="T3:U3"/>
    <mergeCell ref="V3:W3"/>
    <mergeCell ref="X3:Y3"/>
    <mergeCell ref="Z3:AA3"/>
    <mergeCell ref="AN3:AO3"/>
    <mergeCell ref="AL3:AM3"/>
    <mergeCell ref="AJ3:AK3"/>
    <mergeCell ref="AH3:AI3"/>
    <mergeCell ref="AF3:AG3"/>
    <mergeCell ref="R3:S3"/>
    <mergeCell ref="A1:AY1"/>
    <mergeCell ref="A2:AY2"/>
    <mergeCell ref="A3:A4"/>
    <mergeCell ref="N3:O3"/>
    <mergeCell ref="P3:Q3"/>
    <mergeCell ref="AP3:AQ3"/>
    <mergeCell ref="AR3:AS3"/>
    <mergeCell ref="AB3:AC3"/>
    <mergeCell ref="AD3:AE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BA21"/>
  <sheetViews>
    <sheetView topLeftCell="A6" workbookViewId="0">
      <pane xSplit="1" topLeftCell="AQ1" activePane="topRight" state="frozen"/>
      <selection pane="topRight" activeCell="BA11" sqref="BA11:BA13"/>
    </sheetView>
  </sheetViews>
  <sheetFormatPr defaultColWidth="19.85546875" defaultRowHeight="16.5" x14ac:dyDescent="0.3"/>
  <cols>
    <col min="1" max="1" width="28.28515625" style="59" customWidth="1"/>
    <col min="2" max="53" width="12.42578125" style="59" bestFit="1" customWidth="1"/>
    <col min="54" max="16384" width="19.85546875" style="59"/>
  </cols>
  <sheetData>
    <row r="1" spans="1:53" ht="17.25" x14ac:dyDescent="0.35">
      <c r="A1" s="667" t="s">
        <v>300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7"/>
      <c r="R1" s="667"/>
      <c r="S1" s="667"/>
      <c r="T1" s="667"/>
      <c r="U1" s="667"/>
      <c r="V1" s="667"/>
      <c r="W1" s="667"/>
      <c r="X1" s="667"/>
      <c r="Y1" s="667"/>
      <c r="Z1" s="667"/>
      <c r="AA1" s="667"/>
      <c r="AB1" s="667"/>
      <c r="AC1" s="667"/>
      <c r="AD1" s="667"/>
      <c r="AE1" s="667"/>
      <c r="AF1" s="667"/>
      <c r="AG1" s="667"/>
      <c r="AH1" s="667"/>
      <c r="AI1" s="667"/>
      <c r="AJ1" s="667"/>
      <c r="AK1" s="667"/>
      <c r="AL1" s="667"/>
      <c r="AM1" s="667"/>
      <c r="AN1" s="667"/>
      <c r="AO1" s="667"/>
      <c r="AP1" s="667"/>
      <c r="AQ1" s="667"/>
      <c r="AR1" s="667"/>
      <c r="AS1" s="667"/>
      <c r="AT1" s="667"/>
      <c r="AU1" s="667"/>
      <c r="AV1" s="667"/>
      <c r="AW1" s="667"/>
      <c r="AX1" s="667"/>
      <c r="AY1" s="667"/>
    </row>
    <row r="2" spans="1:53" s="495" customFormat="1" ht="18" thickBot="1" x14ac:dyDescent="0.4">
      <c r="A2" s="668" t="s">
        <v>156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8"/>
      <c r="AH2" s="668"/>
      <c r="AI2" s="668"/>
      <c r="AJ2" s="668"/>
      <c r="AK2" s="668"/>
      <c r="AL2" s="668"/>
      <c r="AM2" s="668"/>
      <c r="AN2" s="668"/>
      <c r="AO2" s="668"/>
      <c r="AP2" s="668"/>
      <c r="AQ2" s="668"/>
      <c r="AR2" s="668"/>
      <c r="AS2" s="668"/>
      <c r="AT2" s="668"/>
      <c r="AU2" s="668"/>
      <c r="AV2" s="668"/>
      <c r="AW2" s="668"/>
      <c r="AX2" s="668"/>
      <c r="AY2" s="668"/>
    </row>
    <row r="3" spans="1:53" s="627" customFormat="1" ht="39" customHeight="1" thickBot="1" x14ac:dyDescent="0.35">
      <c r="A3" s="1292" t="s">
        <v>14</v>
      </c>
      <c r="B3" s="1476" t="s">
        <v>158</v>
      </c>
      <c r="C3" s="1477"/>
      <c r="D3" s="1476" t="s">
        <v>159</v>
      </c>
      <c r="E3" s="1477"/>
      <c r="F3" s="1476" t="s">
        <v>160</v>
      </c>
      <c r="G3" s="1477"/>
      <c r="H3" s="1476" t="s">
        <v>161</v>
      </c>
      <c r="I3" s="1480"/>
      <c r="J3" s="1476" t="s">
        <v>162</v>
      </c>
      <c r="K3" s="1477"/>
      <c r="L3" s="1476" t="s">
        <v>163</v>
      </c>
      <c r="M3" s="1480"/>
      <c r="N3" s="1476" t="s">
        <v>312</v>
      </c>
      <c r="O3" s="1477"/>
      <c r="P3" s="1476" t="s">
        <v>164</v>
      </c>
      <c r="Q3" s="1477"/>
      <c r="R3" s="1476" t="s">
        <v>165</v>
      </c>
      <c r="S3" s="1477"/>
      <c r="T3" s="1476" t="s">
        <v>166</v>
      </c>
      <c r="U3" s="1480"/>
      <c r="V3" s="1476" t="s">
        <v>167</v>
      </c>
      <c r="W3" s="1477"/>
      <c r="X3" s="1476" t="s">
        <v>168</v>
      </c>
      <c r="Y3" s="1477"/>
      <c r="Z3" s="1476" t="s">
        <v>381</v>
      </c>
      <c r="AA3" s="1477"/>
      <c r="AB3" s="1476" t="s">
        <v>169</v>
      </c>
      <c r="AC3" s="1477"/>
      <c r="AD3" s="1478" t="s">
        <v>170</v>
      </c>
      <c r="AE3" s="1479"/>
      <c r="AF3" s="1476" t="s">
        <v>171</v>
      </c>
      <c r="AG3" s="1477"/>
      <c r="AH3" s="1476" t="s">
        <v>172</v>
      </c>
      <c r="AI3" s="1477"/>
      <c r="AJ3" s="1476" t="s">
        <v>173</v>
      </c>
      <c r="AK3" s="1477"/>
      <c r="AL3" s="1478" t="s">
        <v>174</v>
      </c>
      <c r="AM3" s="1479"/>
      <c r="AN3" s="1476" t="s">
        <v>175</v>
      </c>
      <c r="AO3" s="1477"/>
      <c r="AP3" s="1476" t="s">
        <v>176</v>
      </c>
      <c r="AQ3" s="1477"/>
      <c r="AR3" s="1476" t="s">
        <v>177</v>
      </c>
      <c r="AS3" s="1477"/>
      <c r="AT3" s="1476" t="s">
        <v>178</v>
      </c>
      <c r="AU3" s="1477"/>
      <c r="AV3" s="1476" t="s">
        <v>1</v>
      </c>
      <c r="AW3" s="1480"/>
      <c r="AX3" s="1478" t="s">
        <v>179</v>
      </c>
      <c r="AY3" s="1479"/>
      <c r="AZ3" s="1478" t="s">
        <v>2</v>
      </c>
      <c r="BA3" s="1479"/>
    </row>
    <row r="4" spans="1:53" s="363" customFormat="1" ht="17.25" thickBot="1" x14ac:dyDescent="0.35">
      <c r="A4" s="1293"/>
      <c r="B4" s="965" t="s">
        <v>437</v>
      </c>
      <c r="C4" s="966" t="s">
        <v>420</v>
      </c>
      <c r="D4" s="967" t="s">
        <v>437</v>
      </c>
      <c r="E4" s="968" t="s">
        <v>420</v>
      </c>
      <c r="F4" s="967" t="s">
        <v>437</v>
      </c>
      <c r="G4" s="966" t="s">
        <v>420</v>
      </c>
      <c r="H4" s="967" t="s">
        <v>437</v>
      </c>
      <c r="I4" s="966" t="s">
        <v>420</v>
      </c>
      <c r="J4" s="967" t="s">
        <v>437</v>
      </c>
      <c r="K4" s="966" t="s">
        <v>420</v>
      </c>
      <c r="L4" s="967" t="s">
        <v>437</v>
      </c>
      <c r="M4" s="968" t="s">
        <v>420</v>
      </c>
      <c r="N4" s="967" t="s">
        <v>437</v>
      </c>
      <c r="O4" s="966" t="s">
        <v>420</v>
      </c>
      <c r="P4" s="967" t="s">
        <v>437</v>
      </c>
      <c r="Q4" s="966" t="s">
        <v>420</v>
      </c>
      <c r="R4" s="967" t="s">
        <v>437</v>
      </c>
      <c r="S4" s="966" t="s">
        <v>420</v>
      </c>
      <c r="T4" s="967" t="s">
        <v>437</v>
      </c>
      <c r="U4" s="968" t="s">
        <v>420</v>
      </c>
      <c r="V4" s="967" t="s">
        <v>437</v>
      </c>
      <c r="W4" s="966" t="s">
        <v>420</v>
      </c>
      <c r="X4" s="967" t="s">
        <v>437</v>
      </c>
      <c r="Y4" s="966" t="s">
        <v>420</v>
      </c>
      <c r="Z4" s="967" t="s">
        <v>437</v>
      </c>
      <c r="AA4" s="966" t="s">
        <v>420</v>
      </c>
      <c r="AB4" s="967" t="s">
        <v>437</v>
      </c>
      <c r="AC4" s="968" t="s">
        <v>420</v>
      </c>
      <c r="AD4" s="967" t="s">
        <v>437</v>
      </c>
      <c r="AE4" s="966" t="s">
        <v>420</v>
      </c>
      <c r="AF4" s="967" t="s">
        <v>437</v>
      </c>
      <c r="AG4" s="966" t="s">
        <v>420</v>
      </c>
      <c r="AH4" s="967" t="s">
        <v>437</v>
      </c>
      <c r="AI4" s="966" t="s">
        <v>420</v>
      </c>
      <c r="AJ4" s="967" t="s">
        <v>437</v>
      </c>
      <c r="AK4" s="968" t="s">
        <v>420</v>
      </c>
      <c r="AL4" s="967" t="s">
        <v>437</v>
      </c>
      <c r="AM4" s="966" t="s">
        <v>420</v>
      </c>
      <c r="AN4" s="967" t="s">
        <v>437</v>
      </c>
      <c r="AO4" s="966" t="s">
        <v>420</v>
      </c>
      <c r="AP4" s="967" t="s">
        <v>437</v>
      </c>
      <c r="AQ4" s="966" t="s">
        <v>420</v>
      </c>
      <c r="AR4" s="967" t="s">
        <v>437</v>
      </c>
      <c r="AS4" s="968" t="s">
        <v>420</v>
      </c>
      <c r="AT4" s="967" t="s">
        <v>437</v>
      </c>
      <c r="AU4" s="966" t="s">
        <v>420</v>
      </c>
      <c r="AV4" s="967" t="s">
        <v>437</v>
      </c>
      <c r="AW4" s="966" t="s">
        <v>420</v>
      </c>
      <c r="AX4" s="967" t="s">
        <v>437</v>
      </c>
      <c r="AY4" s="966" t="s">
        <v>420</v>
      </c>
      <c r="AZ4" s="967" t="s">
        <v>437</v>
      </c>
      <c r="BA4" s="966" t="s">
        <v>420</v>
      </c>
    </row>
    <row r="5" spans="1:53" ht="17.25" x14ac:dyDescent="0.35">
      <c r="A5" s="1294" t="s">
        <v>3</v>
      </c>
      <c r="B5" s="1296">
        <v>1134.57</v>
      </c>
      <c r="C5" s="1297">
        <v>950.54</v>
      </c>
      <c r="D5" s="331"/>
      <c r="E5" s="334">
        <v>-0.03</v>
      </c>
      <c r="F5" s="332">
        <v>45.5</v>
      </c>
      <c r="G5" s="334">
        <v>53.5</v>
      </c>
      <c r="H5" s="332">
        <v>1922.81</v>
      </c>
      <c r="I5" s="333">
        <v>1429.15</v>
      </c>
      <c r="J5" s="331">
        <v>366.24</v>
      </c>
      <c r="K5" s="334">
        <v>326.88</v>
      </c>
      <c r="L5" s="332">
        <v>2.92</v>
      </c>
      <c r="M5" s="333">
        <v>4.26</v>
      </c>
      <c r="N5" s="331">
        <v>69.680000000000007</v>
      </c>
      <c r="O5" s="334">
        <v>50.97</v>
      </c>
      <c r="P5" s="335">
        <v>225.67</v>
      </c>
      <c r="Q5" s="336">
        <v>212.69</v>
      </c>
      <c r="R5" s="36"/>
      <c r="S5" s="43">
        <v>578.20000000000005</v>
      </c>
      <c r="T5" s="36">
        <v>58.22</v>
      </c>
      <c r="U5" s="521">
        <v>38.93</v>
      </c>
      <c r="V5" s="1030">
        <v>2388.0700000000002</v>
      </c>
      <c r="W5" s="43">
        <v>1538.49</v>
      </c>
      <c r="X5" s="36">
        <v>2838.77</v>
      </c>
      <c r="Y5" s="521">
        <v>2565.64</v>
      </c>
      <c r="Z5" s="524">
        <v>27.78</v>
      </c>
      <c r="AA5" s="337">
        <v>32.270000000000003</v>
      </c>
      <c r="AB5" s="332">
        <v>50.81</v>
      </c>
      <c r="AC5" s="333">
        <v>43.36</v>
      </c>
      <c r="AD5" s="331">
        <v>935.66</v>
      </c>
      <c r="AE5" s="334">
        <v>506.8</v>
      </c>
      <c r="AF5" s="332">
        <v>1807.39</v>
      </c>
      <c r="AG5" s="333">
        <v>1631.29</v>
      </c>
      <c r="AH5" s="331">
        <v>191.05</v>
      </c>
      <c r="AI5" s="334">
        <v>87.4</v>
      </c>
      <c r="AJ5" s="333">
        <v>372.27</v>
      </c>
      <c r="AK5" s="332">
        <v>402.01</v>
      </c>
      <c r="AL5" s="333"/>
      <c r="AM5" s="334"/>
      <c r="AN5" s="1204">
        <v>4885.32</v>
      </c>
      <c r="AO5" s="1205">
        <v>4393.33</v>
      </c>
      <c r="AP5" s="698">
        <v>33.35</v>
      </c>
      <c r="AQ5" s="338">
        <v>33.32</v>
      </c>
      <c r="AR5" s="339">
        <v>2.98</v>
      </c>
      <c r="AS5" s="526">
        <v>0.2</v>
      </c>
      <c r="AT5" s="331">
        <v>2263.65</v>
      </c>
      <c r="AU5" s="334">
        <v>1256.1600000000001</v>
      </c>
      <c r="AV5" s="341">
        <f t="shared" ref="AV5:AV20" si="0">SUM(B5+D5+F5+H5+J5+L5+N5+P5+R5+T5+V5+X5+Z5+AB5+AD5+AF5+AH5+AJ5+AL5+AN5+AP5+AR5+AT5)</f>
        <v>19622.71</v>
      </c>
      <c r="AW5" s="705">
        <f t="shared" ref="AW5:AW20" si="1">SUM(C5+E5+G5+I5+K5+M5+O5+Q5+S5+U5+W5+Y5+AA5+AC5+AE5+AG5+AI5+AK5+AM5+AO5+AQ5+AS5+AU5)</f>
        <v>16135.359999999999</v>
      </c>
      <c r="AX5" s="342">
        <v>56400.02</v>
      </c>
      <c r="AY5" s="340">
        <v>52789.43</v>
      </c>
      <c r="AZ5" s="1194">
        <f t="shared" ref="AZ5:AZ20" si="2">AV5+AX5</f>
        <v>76022.73</v>
      </c>
      <c r="BA5" s="343">
        <f t="shared" ref="BA5:BA20" si="3">AW5+AY5</f>
        <v>68924.789999999994</v>
      </c>
    </row>
    <row r="6" spans="1:53" ht="17.25" x14ac:dyDescent="0.35">
      <c r="A6" s="350" t="s">
        <v>4</v>
      </c>
      <c r="B6" s="1053">
        <v>1943.73</v>
      </c>
      <c r="C6" s="1054">
        <v>1332.66</v>
      </c>
      <c r="D6" s="60"/>
      <c r="E6" s="63"/>
      <c r="F6" s="61">
        <v>82.7</v>
      </c>
      <c r="G6" s="63">
        <v>58.99</v>
      </c>
      <c r="H6" s="61">
        <v>2306.89</v>
      </c>
      <c r="I6" s="62">
        <v>1614.09</v>
      </c>
      <c r="J6" s="60">
        <v>67.05</v>
      </c>
      <c r="K6" s="63">
        <v>53.68</v>
      </c>
      <c r="L6" s="61">
        <v>1665.91</v>
      </c>
      <c r="M6" s="62">
        <v>1662.62</v>
      </c>
      <c r="N6" s="60">
        <v>-0.01</v>
      </c>
      <c r="O6" s="63">
        <v>0.01</v>
      </c>
      <c r="P6" s="64">
        <v>125.01</v>
      </c>
      <c r="Q6" s="65">
        <v>105.01</v>
      </c>
      <c r="R6" s="2"/>
      <c r="S6" s="3">
        <v>100.24</v>
      </c>
      <c r="T6" s="2">
        <v>59.86</v>
      </c>
      <c r="U6" s="190">
        <v>47.42</v>
      </c>
      <c r="V6" s="1">
        <v>6420.84</v>
      </c>
      <c r="W6" s="3">
        <v>5176.1000000000004</v>
      </c>
      <c r="X6" s="2">
        <v>3064.74</v>
      </c>
      <c r="Y6" s="190">
        <v>4201.16</v>
      </c>
      <c r="Z6" s="191">
        <v>551.41</v>
      </c>
      <c r="AA6" s="5">
        <v>519.86</v>
      </c>
      <c r="AB6" s="61">
        <v>1631.56</v>
      </c>
      <c r="AC6" s="62">
        <v>1268.01</v>
      </c>
      <c r="AD6" s="60">
        <v>2165.37</v>
      </c>
      <c r="AE6" s="63">
        <v>2027.26</v>
      </c>
      <c r="AF6" s="61">
        <v>4764.67</v>
      </c>
      <c r="AG6" s="62">
        <v>4574.8</v>
      </c>
      <c r="AH6" s="60">
        <v>1494.92</v>
      </c>
      <c r="AI6" s="63">
        <v>1241.67</v>
      </c>
      <c r="AJ6" s="62">
        <v>22.72</v>
      </c>
      <c r="AK6" s="61">
        <v>17.03</v>
      </c>
      <c r="AL6" s="62"/>
      <c r="AM6" s="63"/>
      <c r="AN6" s="1206">
        <v>13998.58</v>
      </c>
      <c r="AO6" s="1207">
        <v>10711.65</v>
      </c>
      <c r="AP6" s="699"/>
      <c r="AQ6" s="66">
        <v>1.84</v>
      </c>
      <c r="AR6" s="67">
        <v>1439.07</v>
      </c>
      <c r="AS6" s="527">
        <v>1144.03</v>
      </c>
      <c r="AT6" s="60">
        <v>3697.73</v>
      </c>
      <c r="AU6" s="63">
        <v>2799.65</v>
      </c>
      <c r="AV6" s="69">
        <f t="shared" si="0"/>
        <v>45502.75</v>
      </c>
      <c r="AW6" s="706">
        <f t="shared" si="1"/>
        <v>38657.78</v>
      </c>
      <c r="AX6" s="70">
        <v>1748.04</v>
      </c>
      <c r="AY6" s="68">
        <v>1440.99</v>
      </c>
      <c r="AZ6" s="71">
        <f t="shared" si="2"/>
        <v>47250.79</v>
      </c>
      <c r="BA6" s="203">
        <f t="shared" si="3"/>
        <v>40098.769999999997</v>
      </c>
    </row>
    <row r="7" spans="1:53" ht="17.25" x14ac:dyDescent="0.35">
      <c r="A7" s="350" t="s">
        <v>5</v>
      </c>
      <c r="B7" s="1053">
        <v>8.76</v>
      </c>
      <c r="C7" s="1054">
        <v>8.09</v>
      </c>
      <c r="D7" s="60">
        <v>-0.3</v>
      </c>
      <c r="E7" s="63">
        <v>-0.24</v>
      </c>
      <c r="F7" s="61">
        <v>4.57</v>
      </c>
      <c r="G7" s="63">
        <v>8.32</v>
      </c>
      <c r="H7" s="61">
        <v>145.31</v>
      </c>
      <c r="I7" s="62">
        <v>85.13</v>
      </c>
      <c r="J7" s="60">
        <v>140.41</v>
      </c>
      <c r="K7" s="63">
        <v>151.15</v>
      </c>
      <c r="L7" s="61">
        <v>21.25</v>
      </c>
      <c r="M7" s="62">
        <v>0.35</v>
      </c>
      <c r="N7" s="60">
        <v>29.89</v>
      </c>
      <c r="O7" s="63">
        <v>14.94</v>
      </c>
      <c r="P7" s="64">
        <v>78.319999999999993</v>
      </c>
      <c r="Q7" s="65">
        <v>47.09</v>
      </c>
      <c r="R7" s="2"/>
      <c r="S7" s="3">
        <v>25.38</v>
      </c>
      <c r="T7" s="2">
        <v>33.46</v>
      </c>
      <c r="U7" s="190">
        <v>18.739999999999998</v>
      </c>
      <c r="V7" s="1">
        <v>898.6</v>
      </c>
      <c r="W7" s="3">
        <v>529.67999999999995</v>
      </c>
      <c r="X7" s="2">
        <v>590.29</v>
      </c>
      <c r="Y7" s="190">
        <v>419.17</v>
      </c>
      <c r="Z7" s="191"/>
      <c r="AA7" s="5"/>
      <c r="AB7" s="61">
        <v>5.29</v>
      </c>
      <c r="AC7" s="62">
        <v>23.43</v>
      </c>
      <c r="AD7" s="60">
        <v>45.25</v>
      </c>
      <c r="AE7" s="63">
        <v>18.68</v>
      </c>
      <c r="AF7" s="61">
        <v>127.77</v>
      </c>
      <c r="AG7" s="62">
        <v>116.54</v>
      </c>
      <c r="AH7" s="60">
        <v>29.37</v>
      </c>
      <c r="AI7" s="63">
        <v>32.51</v>
      </c>
      <c r="AJ7" s="62">
        <v>48.05</v>
      </c>
      <c r="AK7" s="61">
        <v>39.76</v>
      </c>
      <c r="AL7" s="62"/>
      <c r="AM7" s="63"/>
      <c r="AN7" s="1206">
        <v>637.66</v>
      </c>
      <c r="AO7" s="1207">
        <v>506.55</v>
      </c>
      <c r="AP7" s="699">
        <v>274.72000000000003</v>
      </c>
      <c r="AQ7" s="66">
        <v>261.48</v>
      </c>
      <c r="AR7" s="67">
        <v>2.2599999999999998</v>
      </c>
      <c r="AS7" s="527"/>
      <c r="AT7" s="60">
        <v>156.31</v>
      </c>
      <c r="AU7" s="63">
        <v>91.74</v>
      </c>
      <c r="AV7" s="69">
        <f t="shared" si="0"/>
        <v>3277.2400000000002</v>
      </c>
      <c r="AW7" s="706">
        <f t="shared" si="1"/>
        <v>2398.4899999999998</v>
      </c>
      <c r="AX7" s="70">
        <v>60.64</v>
      </c>
      <c r="AY7" s="68">
        <v>50.66</v>
      </c>
      <c r="AZ7" s="71">
        <f t="shared" si="2"/>
        <v>3337.88</v>
      </c>
      <c r="BA7" s="203">
        <f t="shared" si="3"/>
        <v>2449.1499999999996</v>
      </c>
    </row>
    <row r="8" spans="1:53" ht="17.25" x14ac:dyDescent="0.35">
      <c r="A8" s="350" t="s">
        <v>6</v>
      </c>
      <c r="B8" s="1053">
        <v>56.15</v>
      </c>
      <c r="C8" s="1054">
        <v>21.18</v>
      </c>
      <c r="D8" s="60">
        <v>0.96</v>
      </c>
      <c r="E8" s="63">
        <v>2.81</v>
      </c>
      <c r="F8" s="61">
        <v>9.9</v>
      </c>
      <c r="G8" s="63">
        <v>2.52</v>
      </c>
      <c r="H8" s="61">
        <v>464.79</v>
      </c>
      <c r="I8" s="62">
        <v>203.51</v>
      </c>
      <c r="J8" s="60">
        <v>130.59</v>
      </c>
      <c r="K8" s="63">
        <v>126.07</v>
      </c>
      <c r="L8" s="61">
        <v>34.090000000000003</v>
      </c>
      <c r="M8" s="62">
        <v>19.03</v>
      </c>
      <c r="N8" s="60">
        <v>0.09</v>
      </c>
      <c r="O8" s="63">
        <v>-0.02</v>
      </c>
      <c r="P8" s="64">
        <v>10.51</v>
      </c>
      <c r="Q8" s="65">
        <v>13.53</v>
      </c>
      <c r="R8" s="2"/>
      <c r="S8" s="3">
        <v>392.17</v>
      </c>
      <c r="T8" s="2">
        <v>12.65</v>
      </c>
      <c r="U8" s="190">
        <v>9.94</v>
      </c>
      <c r="V8" s="1">
        <v>1001.59</v>
      </c>
      <c r="W8" s="3">
        <v>520</v>
      </c>
      <c r="X8" s="2">
        <v>678.51</v>
      </c>
      <c r="Y8" s="190">
        <v>354.04</v>
      </c>
      <c r="Z8" s="191">
        <v>27.49</v>
      </c>
      <c r="AA8" s="5">
        <v>44.45</v>
      </c>
      <c r="AB8" s="61">
        <v>38.86</v>
      </c>
      <c r="AC8" s="62">
        <v>31.13</v>
      </c>
      <c r="AD8" s="60">
        <v>64.14</v>
      </c>
      <c r="AE8" s="63">
        <v>62.54</v>
      </c>
      <c r="AF8" s="61">
        <v>252.84</v>
      </c>
      <c r="AG8" s="62">
        <v>85.12</v>
      </c>
      <c r="AH8" s="60">
        <v>89.28</v>
      </c>
      <c r="AI8" s="63">
        <v>46.87</v>
      </c>
      <c r="AJ8" s="62">
        <v>34.880000000000003</v>
      </c>
      <c r="AK8" s="61">
        <v>22.95</v>
      </c>
      <c r="AL8" s="62"/>
      <c r="AM8" s="63"/>
      <c r="AN8" s="1206">
        <v>4.7300000000000004</v>
      </c>
      <c r="AO8" s="1207">
        <v>1.81</v>
      </c>
      <c r="AP8" s="699">
        <v>59.14</v>
      </c>
      <c r="AQ8" s="66">
        <v>43.21</v>
      </c>
      <c r="AR8" s="67">
        <v>7.23</v>
      </c>
      <c r="AS8" s="527">
        <v>0.14000000000000001</v>
      </c>
      <c r="AT8" s="60">
        <v>1316.98</v>
      </c>
      <c r="AU8" s="63">
        <v>542.26</v>
      </c>
      <c r="AV8" s="69">
        <f t="shared" si="0"/>
        <v>4295.3999999999996</v>
      </c>
      <c r="AW8" s="706">
        <f t="shared" si="1"/>
        <v>2545.2600000000002</v>
      </c>
      <c r="AX8" s="70">
        <v>57.04</v>
      </c>
      <c r="AY8" s="68">
        <v>28.43</v>
      </c>
      <c r="AZ8" s="71">
        <f t="shared" si="2"/>
        <v>4352.4399999999996</v>
      </c>
      <c r="BA8" s="203">
        <f t="shared" si="3"/>
        <v>2573.69</v>
      </c>
    </row>
    <row r="9" spans="1:53" ht="17.25" x14ac:dyDescent="0.35">
      <c r="A9" s="350" t="s">
        <v>7</v>
      </c>
      <c r="B9" s="785"/>
      <c r="C9" s="82"/>
      <c r="D9" s="71"/>
      <c r="E9" s="76"/>
      <c r="F9" s="74"/>
      <c r="G9" s="76"/>
      <c r="H9" s="74"/>
      <c r="I9" s="75"/>
      <c r="J9" s="71"/>
      <c r="K9" s="76"/>
      <c r="L9" s="74"/>
      <c r="M9" s="75"/>
      <c r="N9" s="71"/>
      <c r="O9" s="76"/>
      <c r="P9" s="64"/>
      <c r="Q9" s="65"/>
      <c r="R9" s="7"/>
      <c r="S9" s="8"/>
      <c r="T9" s="7"/>
      <c r="U9" s="84"/>
      <c r="V9" s="6"/>
      <c r="W9" s="8"/>
      <c r="X9" s="7"/>
      <c r="Y9" s="84"/>
      <c r="Z9" s="191"/>
      <c r="AA9" s="5"/>
      <c r="AB9" s="74"/>
      <c r="AC9" s="75"/>
      <c r="AD9" s="525">
        <v>0.02</v>
      </c>
      <c r="AE9" s="77">
        <v>0.1</v>
      </c>
      <c r="AF9" s="74"/>
      <c r="AG9" s="75"/>
      <c r="AH9" s="71"/>
      <c r="AI9" s="76"/>
      <c r="AJ9" s="75"/>
      <c r="AK9" s="74"/>
      <c r="AL9" s="75"/>
      <c r="AM9" s="63"/>
      <c r="AN9" s="1206"/>
      <c r="AO9" s="1207"/>
      <c r="AP9" s="699"/>
      <c r="AQ9" s="66"/>
      <c r="AR9" s="67"/>
      <c r="AS9" s="527"/>
      <c r="AT9" s="71">
        <v>2.44</v>
      </c>
      <c r="AU9" s="76">
        <v>0.64</v>
      </c>
      <c r="AV9" s="69">
        <f t="shared" si="0"/>
        <v>2.46</v>
      </c>
      <c r="AW9" s="706">
        <f t="shared" si="1"/>
        <v>0.74</v>
      </c>
      <c r="AX9" s="71">
        <v>162.46</v>
      </c>
      <c r="AY9" s="76">
        <v>257.92</v>
      </c>
      <c r="AZ9" s="71">
        <f t="shared" si="2"/>
        <v>164.92000000000002</v>
      </c>
      <c r="BA9" s="203">
        <f t="shared" si="3"/>
        <v>258.66000000000003</v>
      </c>
    </row>
    <row r="10" spans="1:53" ht="17.25" x14ac:dyDescent="0.35">
      <c r="A10" s="350" t="s">
        <v>15</v>
      </c>
      <c r="B10" s="1053"/>
      <c r="C10" s="1054"/>
      <c r="D10" s="60"/>
      <c r="E10" s="63"/>
      <c r="F10" s="61"/>
      <c r="G10" s="63"/>
      <c r="H10" s="61"/>
      <c r="I10" s="62"/>
      <c r="J10" s="60"/>
      <c r="K10" s="63"/>
      <c r="L10" s="61"/>
      <c r="M10" s="62"/>
      <c r="N10" s="60"/>
      <c r="O10" s="63"/>
      <c r="P10" s="64"/>
      <c r="Q10" s="65"/>
      <c r="R10" s="2"/>
      <c r="S10" s="3"/>
      <c r="T10" s="2"/>
      <c r="U10" s="190"/>
      <c r="V10" s="1"/>
      <c r="W10" s="3"/>
      <c r="X10" s="2"/>
      <c r="Y10" s="190"/>
      <c r="Z10" s="1"/>
      <c r="AA10" s="3"/>
      <c r="AB10" s="61">
        <v>7.04</v>
      </c>
      <c r="AC10" s="62">
        <v>9.98</v>
      </c>
      <c r="AD10" s="60">
        <v>0.13</v>
      </c>
      <c r="AE10" s="63"/>
      <c r="AF10" s="61"/>
      <c r="AG10" s="62"/>
      <c r="AH10" s="60"/>
      <c r="AI10" s="63"/>
      <c r="AJ10" s="62"/>
      <c r="AK10" s="61"/>
      <c r="AL10" s="62"/>
      <c r="AM10" s="63"/>
      <c r="AN10" s="1206"/>
      <c r="AO10" s="1207"/>
      <c r="AP10" s="699"/>
      <c r="AQ10" s="66"/>
      <c r="AR10" s="67"/>
      <c r="AS10" s="527"/>
      <c r="AT10" s="60"/>
      <c r="AU10" s="63"/>
      <c r="AV10" s="69">
        <f t="shared" si="0"/>
        <v>7.17</v>
      </c>
      <c r="AW10" s="706">
        <f t="shared" si="1"/>
        <v>9.98</v>
      </c>
      <c r="AX10" s="70">
        <v>75.290000000000006</v>
      </c>
      <c r="AY10" s="68">
        <v>1.6</v>
      </c>
      <c r="AZ10" s="71">
        <f t="shared" si="2"/>
        <v>82.460000000000008</v>
      </c>
      <c r="BA10" s="203">
        <f t="shared" si="3"/>
        <v>11.58</v>
      </c>
    </row>
    <row r="11" spans="1:53" ht="17.25" x14ac:dyDescent="0.35">
      <c r="A11" s="350" t="s">
        <v>8</v>
      </c>
      <c r="B11" s="1053"/>
      <c r="C11" s="1054"/>
      <c r="D11" s="60"/>
      <c r="E11" s="63"/>
      <c r="F11" s="61"/>
      <c r="G11" s="63"/>
      <c r="H11" s="61"/>
      <c r="I11" s="62"/>
      <c r="J11" s="60"/>
      <c r="K11" s="63"/>
      <c r="L11" s="61"/>
      <c r="M11" s="62"/>
      <c r="N11" s="60"/>
      <c r="O11" s="63"/>
      <c r="P11" s="64"/>
      <c r="Q11" s="65"/>
      <c r="R11" s="2"/>
      <c r="S11" s="3"/>
      <c r="T11" s="2"/>
      <c r="U11" s="190"/>
      <c r="V11" s="1"/>
      <c r="W11" s="3"/>
      <c r="X11" s="2"/>
      <c r="Y11" s="190"/>
      <c r="Z11" s="1"/>
      <c r="AA11" s="3"/>
      <c r="AB11" s="61">
        <v>39.04</v>
      </c>
      <c r="AC11" s="62">
        <v>52.82</v>
      </c>
      <c r="AD11" s="60"/>
      <c r="AE11" s="63"/>
      <c r="AF11" s="61"/>
      <c r="AG11" s="62"/>
      <c r="AH11" s="60"/>
      <c r="AI11" s="63"/>
      <c r="AJ11" s="62"/>
      <c r="AK11" s="61"/>
      <c r="AL11" s="62"/>
      <c r="AM11" s="63"/>
      <c r="AN11" s="1206"/>
      <c r="AO11" s="1207"/>
      <c r="AP11" s="699"/>
      <c r="AQ11" s="66"/>
      <c r="AR11" s="67"/>
      <c r="AS11" s="527"/>
      <c r="AT11" s="60"/>
      <c r="AU11" s="63"/>
      <c r="AV11" s="69">
        <f t="shared" si="0"/>
        <v>39.04</v>
      </c>
      <c r="AW11" s="706">
        <f t="shared" si="1"/>
        <v>52.82</v>
      </c>
      <c r="AX11" s="70"/>
      <c r="AY11" s="68"/>
      <c r="AZ11" s="71">
        <f t="shared" si="2"/>
        <v>39.04</v>
      </c>
      <c r="BA11" s="203">
        <f t="shared" si="3"/>
        <v>52.82</v>
      </c>
    </row>
    <row r="12" spans="1:53" ht="17.25" x14ac:dyDescent="0.35">
      <c r="A12" s="39" t="s">
        <v>421</v>
      </c>
      <c r="B12" s="1053">
        <v>53.04</v>
      </c>
      <c r="C12" s="1054">
        <v>5.56</v>
      </c>
      <c r="D12" s="60">
        <v>0.43</v>
      </c>
      <c r="E12" s="63">
        <v>2.71</v>
      </c>
      <c r="F12" s="61">
        <v>0.63</v>
      </c>
      <c r="G12" s="63">
        <v>1.01</v>
      </c>
      <c r="H12" s="61">
        <v>21.63</v>
      </c>
      <c r="I12" s="62">
        <v>17.02</v>
      </c>
      <c r="J12" s="60">
        <v>26.45</v>
      </c>
      <c r="K12" s="63">
        <v>33.590000000000003</v>
      </c>
      <c r="L12" s="61">
        <v>7.31</v>
      </c>
      <c r="M12" s="62">
        <v>11.5</v>
      </c>
      <c r="N12" s="60"/>
      <c r="O12" s="63"/>
      <c r="P12" s="64">
        <v>4.18</v>
      </c>
      <c r="Q12" s="65">
        <v>6.34</v>
      </c>
      <c r="R12" s="2"/>
      <c r="S12" s="3">
        <v>103.99</v>
      </c>
      <c r="T12" s="2">
        <v>1.54</v>
      </c>
      <c r="U12" s="190">
        <v>1.63</v>
      </c>
      <c r="V12" s="1">
        <v>807.84</v>
      </c>
      <c r="W12" s="3">
        <v>1245.45</v>
      </c>
      <c r="X12" s="2">
        <v>170.77</v>
      </c>
      <c r="Y12" s="190">
        <v>178.76</v>
      </c>
      <c r="Z12" s="1">
        <v>0.02</v>
      </c>
      <c r="AA12" s="3">
        <v>0.08</v>
      </c>
      <c r="AB12" s="61"/>
      <c r="AC12" s="62"/>
      <c r="AD12" s="60">
        <v>14.89</v>
      </c>
      <c r="AE12" s="63">
        <v>4.59</v>
      </c>
      <c r="AF12" s="61">
        <v>94.21</v>
      </c>
      <c r="AG12" s="62">
        <v>70.7</v>
      </c>
      <c r="AH12" s="60">
        <v>0.98</v>
      </c>
      <c r="AI12" s="63">
        <v>2.2200000000000002</v>
      </c>
      <c r="AJ12" s="62"/>
      <c r="AK12" s="61">
        <v>0.15</v>
      </c>
      <c r="AL12" s="62"/>
      <c r="AM12" s="63"/>
      <c r="AN12" s="1206">
        <v>31.62</v>
      </c>
      <c r="AO12" s="1207">
        <v>23.74</v>
      </c>
      <c r="AP12" s="699">
        <v>5.61</v>
      </c>
      <c r="AQ12" s="66">
        <v>4.1500000000000004</v>
      </c>
      <c r="AR12" s="67"/>
      <c r="AS12" s="527"/>
      <c r="AT12" s="60">
        <v>139.77000000000001</v>
      </c>
      <c r="AU12" s="63">
        <v>41.58</v>
      </c>
      <c r="AV12" s="69">
        <f t="shared" si="0"/>
        <v>1380.92</v>
      </c>
      <c r="AW12" s="706">
        <f t="shared" si="1"/>
        <v>1754.77</v>
      </c>
      <c r="AX12" s="70">
        <v>75.48</v>
      </c>
      <c r="AY12" s="68">
        <v>88.81</v>
      </c>
      <c r="AZ12" s="71">
        <f t="shared" si="2"/>
        <v>1456.4</v>
      </c>
      <c r="BA12" s="203">
        <f t="shared" si="3"/>
        <v>1843.58</v>
      </c>
    </row>
    <row r="13" spans="1:53" ht="17.25" x14ac:dyDescent="0.35">
      <c r="A13" s="39" t="s">
        <v>422</v>
      </c>
      <c r="B13" s="1053">
        <v>280.86</v>
      </c>
      <c r="C13" s="1054">
        <v>119.37</v>
      </c>
      <c r="D13" s="60"/>
      <c r="E13" s="63">
        <v>0.64</v>
      </c>
      <c r="F13" s="61">
        <v>73.540000000000006</v>
      </c>
      <c r="G13" s="63">
        <v>69.53</v>
      </c>
      <c r="H13" s="61">
        <v>847.75</v>
      </c>
      <c r="I13" s="62">
        <v>534.29999999999995</v>
      </c>
      <c r="J13" s="60">
        <v>68.27</v>
      </c>
      <c r="K13" s="63">
        <v>66.39</v>
      </c>
      <c r="L13" s="61">
        <v>70.14</v>
      </c>
      <c r="M13" s="62">
        <v>24.73</v>
      </c>
      <c r="N13" s="60">
        <v>59.51</v>
      </c>
      <c r="O13" s="63">
        <v>55.61</v>
      </c>
      <c r="P13" s="64">
        <v>70.66</v>
      </c>
      <c r="Q13" s="65">
        <v>60.95</v>
      </c>
      <c r="R13" s="2"/>
      <c r="S13" s="3">
        <v>54.92</v>
      </c>
      <c r="T13" s="2">
        <v>220.38</v>
      </c>
      <c r="U13" s="190">
        <v>194.55</v>
      </c>
      <c r="V13" s="1">
        <v>2952.62</v>
      </c>
      <c r="W13" s="3">
        <v>2579.0500000000002</v>
      </c>
      <c r="X13" s="2">
        <v>1548.57</v>
      </c>
      <c r="Y13" s="190">
        <v>1513.4</v>
      </c>
      <c r="Z13" s="1">
        <v>63.16</v>
      </c>
      <c r="AA13" s="3">
        <v>42.06</v>
      </c>
      <c r="AB13" s="61"/>
      <c r="AC13" s="62"/>
      <c r="AD13" s="60">
        <v>723.68</v>
      </c>
      <c r="AE13" s="63">
        <v>669.13</v>
      </c>
      <c r="AF13" s="61">
        <v>968.11</v>
      </c>
      <c r="AG13" s="62">
        <v>524.6</v>
      </c>
      <c r="AH13" s="60">
        <v>456.16</v>
      </c>
      <c r="AI13" s="63">
        <v>425.57</v>
      </c>
      <c r="AJ13" s="62">
        <v>552.61</v>
      </c>
      <c r="AK13" s="61">
        <v>501.13</v>
      </c>
      <c r="AL13" s="62"/>
      <c r="AM13" s="63"/>
      <c r="AN13" s="1206">
        <v>1344.32</v>
      </c>
      <c r="AO13" s="1207">
        <v>856.7</v>
      </c>
      <c r="AP13" s="699">
        <v>301.91000000000003</v>
      </c>
      <c r="AQ13" s="66">
        <v>231.19</v>
      </c>
      <c r="AR13" s="67">
        <v>26.45</v>
      </c>
      <c r="AS13" s="527">
        <v>6.46</v>
      </c>
      <c r="AT13" s="60">
        <v>391.33</v>
      </c>
      <c r="AU13" s="63">
        <v>190.62</v>
      </c>
      <c r="AV13" s="69">
        <f t="shared" si="0"/>
        <v>11020.03</v>
      </c>
      <c r="AW13" s="706">
        <f t="shared" si="1"/>
        <v>8720.9000000000015</v>
      </c>
      <c r="AX13" s="70"/>
      <c r="AY13" s="68">
        <v>103.16</v>
      </c>
      <c r="AZ13" s="71">
        <f t="shared" si="2"/>
        <v>11020.03</v>
      </c>
      <c r="BA13" s="203">
        <f t="shared" si="3"/>
        <v>8824.0600000000013</v>
      </c>
    </row>
    <row r="14" spans="1:53" ht="17.25" x14ac:dyDescent="0.35">
      <c r="A14" s="350" t="s">
        <v>16</v>
      </c>
      <c r="B14" s="1053">
        <v>6.05</v>
      </c>
      <c r="C14" s="1054">
        <v>1.88</v>
      </c>
      <c r="D14" s="60"/>
      <c r="E14" s="63"/>
      <c r="F14" s="61">
        <v>0.76</v>
      </c>
      <c r="G14" s="63"/>
      <c r="H14" s="61">
        <v>2.56</v>
      </c>
      <c r="I14" s="62">
        <v>6.02</v>
      </c>
      <c r="J14" s="60">
        <v>3.29</v>
      </c>
      <c r="K14" s="63">
        <v>0.08</v>
      </c>
      <c r="L14" s="61">
        <v>4.8099999999999996</v>
      </c>
      <c r="M14" s="62">
        <v>11.31</v>
      </c>
      <c r="N14" s="60"/>
      <c r="O14" s="63"/>
      <c r="P14" s="64">
        <v>2.78</v>
      </c>
      <c r="Q14" s="65"/>
      <c r="R14" s="2"/>
      <c r="S14" s="3"/>
      <c r="T14" s="2"/>
      <c r="U14" s="190"/>
      <c r="V14" s="1">
        <v>0.3</v>
      </c>
      <c r="W14" s="3"/>
      <c r="X14" s="2">
        <v>19.14</v>
      </c>
      <c r="Y14" s="190"/>
      <c r="Z14" s="1">
        <v>1.7000000000000001E-2</v>
      </c>
      <c r="AA14" s="3">
        <v>0.51</v>
      </c>
      <c r="AB14" s="61"/>
      <c r="AC14" s="62"/>
      <c r="AD14" s="60">
        <v>0.91</v>
      </c>
      <c r="AE14" s="63">
        <v>9.77</v>
      </c>
      <c r="AF14" s="61"/>
      <c r="AG14" s="62"/>
      <c r="AH14" s="60">
        <v>0.25</v>
      </c>
      <c r="AI14" s="63">
        <v>0.54</v>
      </c>
      <c r="AJ14" s="62"/>
      <c r="AK14" s="61"/>
      <c r="AL14" s="62"/>
      <c r="AM14" s="63"/>
      <c r="AN14" s="1206">
        <v>3.21</v>
      </c>
      <c r="AO14" s="1207">
        <v>3.5</v>
      </c>
      <c r="AP14" s="699">
        <v>6.7999999999999996E-3</v>
      </c>
      <c r="AQ14" s="66"/>
      <c r="AR14" s="67"/>
      <c r="AS14" s="527"/>
      <c r="AT14" s="60"/>
      <c r="AU14" s="63"/>
      <c r="AV14" s="69">
        <f t="shared" si="0"/>
        <v>44.083799999999997</v>
      </c>
      <c r="AW14" s="706">
        <f t="shared" si="1"/>
        <v>33.61</v>
      </c>
      <c r="AX14" s="70">
        <v>1.97</v>
      </c>
      <c r="AY14" s="68">
        <v>7.02</v>
      </c>
      <c r="AZ14" s="71">
        <f t="shared" si="2"/>
        <v>46.053799999999995</v>
      </c>
      <c r="BA14" s="203">
        <f t="shared" si="3"/>
        <v>40.629999999999995</v>
      </c>
    </row>
    <row r="15" spans="1:53" ht="17.25" x14ac:dyDescent="0.35">
      <c r="A15" s="350" t="s">
        <v>17</v>
      </c>
      <c r="B15" s="1053"/>
      <c r="C15" s="1054"/>
      <c r="D15" s="60"/>
      <c r="E15" s="63"/>
      <c r="F15" s="61">
        <v>13.07</v>
      </c>
      <c r="G15" s="63">
        <v>12.16</v>
      </c>
      <c r="H15" s="61"/>
      <c r="I15" s="62"/>
      <c r="J15" s="60"/>
      <c r="K15" s="63"/>
      <c r="L15" s="61"/>
      <c r="M15" s="62"/>
      <c r="N15" s="60"/>
      <c r="O15" s="63"/>
      <c r="P15" s="64"/>
      <c r="Q15" s="65"/>
      <c r="R15" s="2"/>
      <c r="S15" s="3"/>
      <c r="T15" s="2">
        <v>4.3099999999999996</v>
      </c>
      <c r="U15" s="190">
        <v>8.6</v>
      </c>
      <c r="V15" s="1">
        <v>10.48</v>
      </c>
      <c r="W15" s="3">
        <v>4.84</v>
      </c>
      <c r="X15" s="2">
        <v>27.2</v>
      </c>
      <c r="Y15" s="190">
        <v>37.29</v>
      </c>
      <c r="Z15" s="1"/>
      <c r="AA15" s="3"/>
      <c r="AB15" s="61"/>
      <c r="AC15" s="62"/>
      <c r="AD15" s="60">
        <v>0.01</v>
      </c>
      <c r="AE15" s="63"/>
      <c r="AF15" s="61">
        <v>63.24</v>
      </c>
      <c r="AG15" s="62">
        <v>38.65</v>
      </c>
      <c r="AH15" s="60">
        <v>32.01</v>
      </c>
      <c r="AI15" s="63">
        <v>26.37</v>
      </c>
      <c r="AJ15" s="62"/>
      <c r="AK15" s="61"/>
      <c r="AL15" s="62"/>
      <c r="AM15" s="63"/>
      <c r="AN15" s="1206">
        <v>0.1</v>
      </c>
      <c r="AO15" s="1207">
        <v>0.7</v>
      </c>
      <c r="AP15" s="699">
        <v>0.48</v>
      </c>
      <c r="AQ15" s="66"/>
      <c r="AR15" s="67">
        <v>2.04</v>
      </c>
      <c r="AS15" s="527"/>
      <c r="AT15" s="60"/>
      <c r="AU15" s="63"/>
      <c r="AV15" s="69">
        <f t="shared" si="0"/>
        <v>152.93999999999997</v>
      </c>
      <c r="AW15" s="706">
        <f t="shared" si="1"/>
        <v>128.60999999999999</v>
      </c>
      <c r="AX15" s="70">
        <v>81.17</v>
      </c>
      <c r="AY15" s="68">
        <v>79.28</v>
      </c>
      <c r="AZ15" s="71">
        <f t="shared" si="2"/>
        <v>234.10999999999996</v>
      </c>
      <c r="BA15" s="203">
        <f t="shared" si="3"/>
        <v>207.89</v>
      </c>
    </row>
    <row r="16" spans="1:53" ht="17.25" x14ac:dyDescent="0.35">
      <c r="A16" s="350" t="s">
        <v>183</v>
      </c>
      <c r="B16" s="1053"/>
      <c r="C16" s="1054"/>
      <c r="D16" s="60"/>
      <c r="E16" s="63"/>
      <c r="F16" s="61"/>
      <c r="G16" s="63"/>
      <c r="H16" s="61"/>
      <c r="I16" s="62"/>
      <c r="J16" s="60"/>
      <c r="K16" s="63"/>
      <c r="L16" s="61"/>
      <c r="M16" s="62"/>
      <c r="N16" s="60"/>
      <c r="O16" s="63"/>
      <c r="P16" s="64"/>
      <c r="Q16" s="65"/>
      <c r="R16" s="2"/>
      <c r="S16" s="3"/>
      <c r="T16" s="2"/>
      <c r="U16" s="190"/>
      <c r="V16" s="1"/>
      <c r="W16" s="3"/>
      <c r="X16" s="2"/>
      <c r="Y16" s="190"/>
      <c r="Z16" s="1"/>
      <c r="AA16" s="3"/>
      <c r="AB16" s="61"/>
      <c r="AC16" s="62"/>
      <c r="AD16" s="60"/>
      <c r="AE16" s="63"/>
      <c r="AF16" s="61"/>
      <c r="AG16" s="62"/>
      <c r="AH16" s="60"/>
      <c r="AI16" s="63"/>
      <c r="AJ16" s="62"/>
      <c r="AK16" s="61"/>
      <c r="AL16" s="62"/>
      <c r="AM16" s="63"/>
      <c r="AN16" s="1206"/>
      <c r="AO16" s="1207"/>
      <c r="AP16" s="699"/>
      <c r="AQ16" s="66"/>
      <c r="AR16" s="67"/>
      <c r="AS16" s="527"/>
      <c r="AT16" s="60"/>
      <c r="AU16" s="63"/>
      <c r="AV16" s="69">
        <f t="shared" si="0"/>
        <v>0</v>
      </c>
      <c r="AW16" s="706">
        <f t="shared" si="1"/>
        <v>0</v>
      </c>
      <c r="AX16" s="70"/>
      <c r="AY16" s="68"/>
      <c r="AZ16" s="71">
        <f t="shared" si="2"/>
        <v>0</v>
      </c>
      <c r="BA16" s="203">
        <f t="shared" si="3"/>
        <v>0</v>
      </c>
    </row>
    <row r="17" spans="1:53" ht="18" thickBot="1" x14ac:dyDescent="0.4">
      <c r="A17" s="580" t="s">
        <v>19</v>
      </c>
      <c r="B17" s="1298"/>
      <c r="C17" s="1299">
        <v>2.83</v>
      </c>
      <c r="D17" s="204">
        <v>0.15</v>
      </c>
      <c r="E17" s="207">
        <v>4.5599999999999996</v>
      </c>
      <c r="F17" s="205"/>
      <c r="G17" s="207"/>
      <c r="H17" s="205">
        <v>2.0499999999999998</v>
      </c>
      <c r="I17" s="206">
        <v>72.13</v>
      </c>
      <c r="J17" s="204">
        <v>0.01</v>
      </c>
      <c r="K17" s="207">
        <v>0.14000000000000001</v>
      </c>
      <c r="L17" s="205">
        <v>36.909999999999997</v>
      </c>
      <c r="M17" s="206">
        <v>3.46</v>
      </c>
      <c r="N17" s="204"/>
      <c r="O17" s="207"/>
      <c r="P17" s="225">
        <v>0.03</v>
      </c>
      <c r="Q17" s="226">
        <v>0.76</v>
      </c>
      <c r="R17" s="227"/>
      <c r="S17" s="228"/>
      <c r="T17" s="227"/>
      <c r="U17" s="522"/>
      <c r="V17" s="224">
        <v>2.5</v>
      </c>
      <c r="W17" s="228">
        <v>46.25</v>
      </c>
      <c r="X17" s="227">
        <v>2.08</v>
      </c>
      <c r="Y17" s="522">
        <v>26.2</v>
      </c>
      <c r="Z17" s="224"/>
      <c r="AA17" s="228"/>
      <c r="AB17" s="205">
        <v>8.0000000000000002E-3</v>
      </c>
      <c r="AC17" s="206"/>
      <c r="AD17" s="204">
        <v>0.36</v>
      </c>
      <c r="AE17" s="207">
        <v>1.65</v>
      </c>
      <c r="AF17" s="205">
        <v>5.03</v>
      </c>
      <c r="AG17" s="206">
        <v>56.82</v>
      </c>
      <c r="AH17" s="204">
        <v>1.28</v>
      </c>
      <c r="AI17" s="207">
        <v>17.41</v>
      </c>
      <c r="AJ17" s="206"/>
      <c r="AK17" s="205">
        <v>0.05</v>
      </c>
      <c r="AL17" s="206"/>
      <c r="AM17" s="207"/>
      <c r="AN17" s="1208">
        <v>0.3</v>
      </c>
      <c r="AO17" s="1209">
        <v>2.34</v>
      </c>
      <c r="AP17" s="700">
        <v>-0.01</v>
      </c>
      <c r="AQ17" s="208">
        <v>-0.01</v>
      </c>
      <c r="AR17" s="209"/>
      <c r="AS17" s="528"/>
      <c r="AT17" s="204">
        <v>3.44</v>
      </c>
      <c r="AU17" s="207">
        <v>87.75</v>
      </c>
      <c r="AV17" s="211">
        <f t="shared" si="0"/>
        <v>54.137999999999998</v>
      </c>
      <c r="AW17" s="707">
        <f t="shared" si="1"/>
        <v>322.34000000000003</v>
      </c>
      <c r="AX17" s="212"/>
      <c r="AY17" s="210"/>
      <c r="AZ17" s="1195">
        <f t="shared" si="2"/>
        <v>54.137999999999998</v>
      </c>
      <c r="BA17" s="213">
        <f t="shared" si="3"/>
        <v>322.34000000000003</v>
      </c>
    </row>
    <row r="18" spans="1:53" s="371" customFormat="1" ht="18.75" thickBot="1" x14ac:dyDescent="0.4">
      <c r="A18" s="1295" t="s">
        <v>20</v>
      </c>
      <c r="B18" s="375">
        <f t="shared" ref="B18:AG18" si="4">SUM(B5:B17)</f>
        <v>3483.1600000000008</v>
      </c>
      <c r="C18" s="376">
        <f t="shared" si="4"/>
        <v>2442.1099999999997</v>
      </c>
      <c r="D18" s="366">
        <f t="shared" si="4"/>
        <v>1.2399999999999998</v>
      </c>
      <c r="E18" s="367">
        <f t="shared" si="4"/>
        <v>10.45</v>
      </c>
      <c r="F18" s="364">
        <f t="shared" si="4"/>
        <v>230.66999999999996</v>
      </c>
      <c r="G18" s="367">
        <f t="shared" si="4"/>
        <v>206.03</v>
      </c>
      <c r="H18" s="364">
        <f t="shared" si="4"/>
        <v>5713.7900000000009</v>
      </c>
      <c r="I18" s="365">
        <f t="shared" si="4"/>
        <v>3961.35</v>
      </c>
      <c r="J18" s="366">
        <f t="shared" si="4"/>
        <v>802.31000000000006</v>
      </c>
      <c r="K18" s="367">
        <f t="shared" si="4"/>
        <v>757.98</v>
      </c>
      <c r="L18" s="364">
        <f t="shared" si="4"/>
        <v>1843.3400000000001</v>
      </c>
      <c r="M18" s="365">
        <f t="shared" si="4"/>
        <v>1737.2599999999998</v>
      </c>
      <c r="N18" s="366">
        <f t="shared" si="4"/>
        <v>159.16</v>
      </c>
      <c r="O18" s="367">
        <f t="shared" si="4"/>
        <v>121.51</v>
      </c>
      <c r="P18" s="364">
        <f t="shared" si="4"/>
        <v>517.16</v>
      </c>
      <c r="Q18" s="367">
        <f t="shared" si="4"/>
        <v>446.36999999999989</v>
      </c>
      <c r="R18" s="364">
        <f t="shared" si="4"/>
        <v>0</v>
      </c>
      <c r="S18" s="367">
        <f t="shared" si="4"/>
        <v>1254.9000000000001</v>
      </c>
      <c r="T18" s="364">
        <f t="shared" si="4"/>
        <v>390.42</v>
      </c>
      <c r="U18" s="365">
        <f t="shared" si="4"/>
        <v>319.81</v>
      </c>
      <c r="V18" s="366">
        <f t="shared" si="4"/>
        <v>14482.84</v>
      </c>
      <c r="W18" s="367">
        <f t="shared" si="4"/>
        <v>11639.86</v>
      </c>
      <c r="X18" s="364">
        <f>SUM(X5:X17)</f>
        <v>8940.0700000000015</v>
      </c>
      <c r="Y18" s="365">
        <f t="shared" si="4"/>
        <v>9295.6600000000017</v>
      </c>
      <c r="Z18" s="366">
        <f t="shared" si="4"/>
        <v>669.87699999999995</v>
      </c>
      <c r="AA18" s="367">
        <f t="shared" si="4"/>
        <v>639.23</v>
      </c>
      <c r="AB18" s="364">
        <f t="shared" si="4"/>
        <v>1772.6079999999997</v>
      </c>
      <c r="AC18" s="365">
        <f t="shared" si="4"/>
        <v>1428.73</v>
      </c>
      <c r="AD18" s="366">
        <f t="shared" si="4"/>
        <v>3950.4199999999996</v>
      </c>
      <c r="AE18" s="367">
        <f t="shared" si="4"/>
        <v>3300.52</v>
      </c>
      <c r="AF18" s="364">
        <f t="shared" si="4"/>
        <v>8083.26</v>
      </c>
      <c r="AG18" s="365">
        <f t="shared" si="4"/>
        <v>7098.5199999999995</v>
      </c>
      <c r="AH18" s="366">
        <f t="shared" ref="AH18:AU18" si="5">SUM(AH5:AH17)</f>
        <v>2295.3000000000002</v>
      </c>
      <c r="AI18" s="367">
        <f t="shared" si="5"/>
        <v>1880.56</v>
      </c>
      <c r="AJ18" s="364">
        <f t="shared" si="5"/>
        <v>1030.53</v>
      </c>
      <c r="AK18" s="365">
        <f t="shared" si="5"/>
        <v>983.07999999999993</v>
      </c>
      <c r="AL18" s="366">
        <f t="shared" si="5"/>
        <v>0</v>
      </c>
      <c r="AM18" s="367">
        <f t="shared" si="5"/>
        <v>0</v>
      </c>
      <c r="AN18" s="366">
        <f t="shared" si="5"/>
        <v>20905.839999999997</v>
      </c>
      <c r="AO18" s="367">
        <f t="shared" si="5"/>
        <v>16500.32</v>
      </c>
      <c r="AP18" s="364">
        <f t="shared" si="5"/>
        <v>675.20680000000004</v>
      </c>
      <c r="AQ18" s="367">
        <f t="shared" si="5"/>
        <v>575.18000000000006</v>
      </c>
      <c r="AR18" s="364">
        <f t="shared" si="5"/>
        <v>1480.03</v>
      </c>
      <c r="AS18" s="365">
        <f t="shared" si="5"/>
        <v>1150.8300000000002</v>
      </c>
      <c r="AT18" s="366">
        <f t="shared" si="5"/>
        <v>7971.65</v>
      </c>
      <c r="AU18" s="367">
        <f t="shared" si="5"/>
        <v>5010.4000000000005</v>
      </c>
      <c r="AV18" s="368">
        <f t="shared" si="0"/>
        <v>85398.881799999988</v>
      </c>
      <c r="AW18" s="708">
        <f t="shared" si="1"/>
        <v>70760.659999999989</v>
      </c>
      <c r="AX18" s="369">
        <f>SUM(AX5:AX17)</f>
        <v>58662.11</v>
      </c>
      <c r="AY18" s="711">
        <f>SUM(AY5:AY17)</f>
        <v>54847.299999999996</v>
      </c>
      <c r="AZ18" s="1196">
        <f t="shared" si="2"/>
        <v>144060.99179999999</v>
      </c>
      <c r="BA18" s="370">
        <f t="shared" si="3"/>
        <v>125607.95999999999</v>
      </c>
    </row>
    <row r="19" spans="1:53" ht="18" thickBot="1" x14ac:dyDescent="0.4">
      <c r="A19" s="229" t="s">
        <v>11</v>
      </c>
      <c r="B19" s="230"/>
      <c r="C19" s="231"/>
      <c r="D19" s="214"/>
      <c r="E19" s="217"/>
      <c r="F19" s="215"/>
      <c r="G19" s="217">
        <v>0.11</v>
      </c>
      <c r="H19" s="215"/>
      <c r="I19" s="216"/>
      <c r="J19" s="214"/>
      <c r="K19" s="217"/>
      <c r="L19" s="215"/>
      <c r="M19" s="216"/>
      <c r="N19" s="214"/>
      <c r="O19" s="217"/>
      <c r="P19" s="233"/>
      <c r="Q19" s="234"/>
      <c r="R19" s="235"/>
      <c r="S19" s="236">
        <v>23.07</v>
      </c>
      <c r="T19" s="235"/>
      <c r="U19" s="523"/>
      <c r="V19" s="232">
        <v>2.5299999999999998</v>
      </c>
      <c r="W19" s="236"/>
      <c r="X19" s="235"/>
      <c r="Y19" s="523"/>
      <c r="Z19" s="232"/>
      <c r="AA19" s="236"/>
      <c r="AB19" s="215"/>
      <c r="AC19" s="216"/>
      <c r="AD19" s="214">
        <v>1.54</v>
      </c>
      <c r="AE19" s="217"/>
      <c r="AF19" s="215"/>
      <c r="AG19" s="216"/>
      <c r="AH19" s="214"/>
      <c r="AI19" s="217">
        <v>-1E-3</v>
      </c>
      <c r="AJ19" s="215">
        <v>1.64</v>
      </c>
      <c r="AK19" s="216"/>
      <c r="AL19" s="214"/>
      <c r="AM19" s="217"/>
      <c r="AN19" s="344"/>
      <c r="AO19" s="237"/>
      <c r="AP19" s="701"/>
      <c r="AQ19" s="218"/>
      <c r="AR19" s="219"/>
      <c r="AS19" s="529"/>
      <c r="AT19" s="214"/>
      <c r="AU19" s="217"/>
      <c r="AV19" s="221">
        <f t="shared" si="0"/>
        <v>5.71</v>
      </c>
      <c r="AW19" s="709">
        <f t="shared" si="1"/>
        <v>23.178999999999998</v>
      </c>
      <c r="AX19" s="222"/>
      <c r="AY19" s="220"/>
      <c r="AZ19" s="1197">
        <f t="shared" si="2"/>
        <v>5.71</v>
      </c>
      <c r="BA19" s="223">
        <f t="shared" si="3"/>
        <v>23.178999999999998</v>
      </c>
    </row>
    <row r="20" spans="1:53" s="371" customFormat="1" ht="18.75" thickBot="1" x14ac:dyDescent="0.4">
      <c r="A20" s="372" t="s">
        <v>12</v>
      </c>
      <c r="B20" s="373">
        <f t="shared" ref="B20:AG20" si="6">B18+B19</f>
        <v>3483.1600000000008</v>
      </c>
      <c r="C20" s="374">
        <f t="shared" si="6"/>
        <v>2442.1099999999997</v>
      </c>
      <c r="D20" s="375">
        <f t="shared" si="6"/>
        <v>1.2399999999999998</v>
      </c>
      <c r="E20" s="376">
        <f t="shared" si="6"/>
        <v>10.45</v>
      </c>
      <c r="F20" s="373">
        <f t="shared" si="6"/>
        <v>230.66999999999996</v>
      </c>
      <c r="G20" s="376">
        <f t="shared" si="6"/>
        <v>206.14000000000001</v>
      </c>
      <c r="H20" s="373">
        <f t="shared" si="6"/>
        <v>5713.7900000000009</v>
      </c>
      <c r="I20" s="374">
        <f t="shared" si="6"/>
        <v>3961.35</v>
      </c>
      <c r="J20" s="375">
        <f t="shared" si="6"/>
        <v>802.31000000000006</v>
      </c>
      <c r="K20" s="376">
        <f t="shared" si="6"/>
        <v>757.98</v>
      </c>
      <c r="L20" s="373">
        <f t="shared" si="6"/>
        <v>1843.3400000000001</v>
      </c>
      <c r="M20" s="374">
        <f t="shared" si="6"/>
        <v>1737.2599999999998</v>
      </c>
      <c r="N20" s="375">
        <f t="shared" si="6"/>
        <v>159.16</v>
      </c>
      <c r="O20" s="376">
        <f t="shared" si="6"/>
        <v>121.51</v>
      </c>
      <c r="P20" s="373">
        <f t="shared" si="6"/>
        <v>517.16</v>
      </c>
      <c r="Q20" s="376">
        <f t="shared" si="6"/>
        <v>446.36999999999989</v>
      </c>
      <c r="R20" s="373">
        <f t="shared" si="6"/>
        <v>0</v>
      </c>
      <c r="S20" s="376">
        <f t="shared" si="6"/>
        <v>1277.97</v>
      </c>
      <c r="T20" s="373">
        <f t="shared" si="6"/>
        <v>390.42</v>
      </c>
      <c r="U20" s="374">
        <f t="shared" si="6"/>
        <v>319.81</v>
      </c>
      <c r="V20" s="375">
        <f t="shared" si="6"/>
        <v>14485.37</v>
      </c>
      <c r="W20" s="376">
        <f t="shared" si="6"/>
        <v>11639.86</v>
      </c>
      <c r="X20" s="373">
        <f t="shared" si="6"/>
        <v>8940.0700000000015</v>
      </c>
      <c r="Y20" s="374">
        <f t="shared" si="6"/>
        <v>9295.6600000000017</v>
      </c>
      <c r="Z20" s="375">
        <f t="shared" si="6"/>
        <v>669.87699999999995</v>
      </c>
      <c r="AA20" s="376">
        <f t="shared" si="6"/>
        <v>639.23</v>
      </c>
      <c r="AB20" s="373">
        <f t="shared" si="6"/>
        <v>1772.6079999999997</v>
      </c>
      <c r="AC20" s="374">
        <f t="shared" si="6"/>
        <v>1428.73</v>
      </c>
      <c r="AD20" s="375">
        <f t="shared" si="6"/>
        <v>3951.9599999999996</v>
      </c>
      <c r="AE20" s="376">
        <f t="shared" si="6"/>
        <v>3300.52</v>
      </c>
      <c r="AF20" s="373">
        <f t="shared" si="6"/>
        <v>8083.26</v>
      </c>
      <c r="AG20" s="374">
        <f t="shared" si="6"/>
        <v>7098.5199999999995</v>
      </c>
      <c r="AH20" s="375">
        <f t="shared" ref="AH20:AU20" si="7">AH18+AH19</f>
        <v>2295.3000000000002</v>
      </c>
      <c r="AI20" s="376">
        <f t="shared" si="7"/>
        <v>1880.559</v>
      </c>
      <c r="AJ20" s="373">
        <f t="shared" si="7"/>
        <v>1032.17</v>
      </c>
      <c r="AK20" s="374">
        <f t="shared" si="7"/>
        <v>983.07999999999993</v>
      </c>
      <c r="AL20" s="375">
        <f t="shared" si="7"/>
        <v>0</v>
      </c>
      <c r="AM20" s="376">
        <f t="shared" si="7"/>
        <v>0</v>
      </c>
      <c r="AN20" s="375">
        <f t="shared" si="7"/>
        <v>20905.839999999997</v>
      </c>
      <c r="AO20" s="376">
        <f t="shared" si="7"/>
        <v>16500.32</v>
      </c>
      <c r="AP20" s="373">
        <f t="shared" si="7"/>
        <v>675.20680000000004</v>
      </c>
      <c r="AQ20" s="376">
        <f t="shared" si="7"/>
        <v>575.18000000000006</v>
      </c>
      <c r="AR20" s="373">
        <f t="shared" si="7"/>
        <v>1480.03</v>
      </c>
      <c r="AS20" s="374">
        <f t="shared" si="7"/>
        <v>1150.8300000000002</v>
      </c>
      <c r="AT20" s="375">
        <f t="shared" si="7"/>
        <v>7971.65</v>
      </c>
      <c r="AU20" s="376">
        <f t="shared" si="7"/>
        <v>5010.4000000000005</v>
      </c>
      <c r="AV20" s="377">
        <f t="shared" si="0"/>
        <v>85404.591799999995</v>
      </c>
      <c r="AW20" s="710">
        <f t="shared" si="1"/>
        <v>70783.838999999993</v>
      </c>
      <c r="AX20" s="378">
        <f>AX18+AX19</f>
        <v>58662.11</v>
      </c>
      <c r="AY20" s="379">
        <f>AY18+AY19</f>
        <v>54847.299999999996</v>
      </c>
      <c r="AZ20" s="378">
        <f t="shared" si="2"/>
        <v>144066.70179999998</v>
      </c>
      <c r="BA20" s="379">
        <f t="shared" si="3"/>
        <v>125631.139</v>
      </c>
    </row>
    <row r="21" spans="1:53" x14ac:dyDescent="0.3">
      <c r="AT21" s="78"/>
      <c r="AU21" s="78"/>
    </row>
  </sheetData>
  <mergeCells count="26">
    <mergeCell ref="B3:C3"/>
    <mergeCell ref="F3:G3"/>
    <mergeCell ref="H3:I3"/>
    <mergeCell ref="J3:K3"/>
    <mergeCell ref="L3:M3"/>
    <mergeCell ref="T3:U3"/>
    <mergeCell ref="R3:S3"/>
    <mergeCell ref="P3:Q3"/>
    <mergeCell ref="N3:O3"/>
    <mergeCell ref="D3:E3"/>
    <mergeCell ref="AZ3:BA3"/>
    <mergeCell ref="AV3:AW3"/>
    <mergeCell ref="AX3:AY3"/>
    <mergeCell ref="AH3:AI3"/>
    <mergeCell ref="AJ3:AK3"/>
    <mergeCell ref="AL3:AM3"/>
    <mergeCell ref="AN3:AO3"/>
    <mergeCell ref="AP3:AQ3"/>
    <mergeCell ref="AR3:AS3"/>
    <mergeCell ref="AT3:AU3"/>
    <mergeCell ref="X3:Y3"/>
    <mergeCell ref="Z3:AA3"/>
    <mergeCell ref="AF3:AG3"/>
    <mergeCell ref="V3:W3"/>
    <mergeCell ref="AB3:AC3"/>
    <mergeCell ref="AD3:AE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BA21"/>
  <sheetViews>
    <sheetView workbookViewId="0">
      <pane xSplit="1" topLeftCell="AP1" activePane="topRight" state="frozen"/>
      <selection pane="topRight" activeCell="BA17" sqref="BA17:BA18"/>
    </sheetView>
  </sheetViews>
  <sheetFormatPr defaultRowHeight="14.25" x14ac:dyDescent="0.3"/>
  <cols>
    <col min="1" max="1" width="27.85546875" style="9" bestFit="1" customWidth="1"/>
    <col min="2" max="25" width="12.42578125" style="9" bestFit="1" customWidth="1"/>
    <col min="26" max="27" width="12.42578125" style="33" bestFit="1" customWidth="1"/>
    <col min="28" max="53" width="12.42578125" style="9" bestFit="1" customWidth="1"/>
    <col min="54" max="16384" width="9.140625" style="9"/>
  </cols>
  <sheetData>
    <row r="1" spans="1:53" ht="28.5" customHeight="1" x14ac:dyDescent="0.3">
      <c r="A1" s="1486" t="s">
        <v>157</v>
      </c>
      <c r="B1" s="1486"/>
      <c r="C1" s="1486"/>
      <c r="D1" s="1486"/>
      <c r="E1" s="1486"/>
      <c r="F1" s="1486"/>
      <c r="G1" s="1486"/>
      <c r="H1" s="1486"/>
      <c r="I1" s="1486"/>
      <c r="J1" s="1486"/>
      <c r="K1" s="1486"/>
      <c r="L1" s="1486"/>
      <c r="M1" s="1486"/>
      <c r="N1" s="1486"/>
      <c r="O1" s="1486"/>
      <c r="P1" s="1486"/>
      <c r="Q1" s="1486"/>
      <c r="R1" s="1486"/>
      <c r="S1" s="1486"/>
      <c r="T1" s="1486"/>
      <c r="U1" s="1486"/>
      <c r="V1" s="1486"/>
      <c r="W1" s="1486"/>
      <c r="X1" s="1486"/>
      <c r="Y1" s="1486"/>
      <c r="Z1" s="1486"/>
      <c r="AA1" s="1486"/>
      <c r="AB1" s="1486"/>
      <c r="AC1" s="1486"/>
      <c r="AD1" s="1486"/>
      <c r="AE1" s="1486"/>
      <c r="AF1" s="1486"/>
      <c r="AG1" s="1486"/>
      <c r="AH1" s="1486"/>
      <c r="AI1" s="1486"/>
      <c r="AJ1" s="1486"/>
      <c r="AK1" s="1486"/>
      <c r="AL1" s="1486"/>
      <c r="AM1" s="1486"/>
      <c r="AN1" s="1486"/>
      <c r="AO1" s="1486"/>
      <c r="AP1" s="1486"/>
      <c r="AQ1" s="1486"/>
      <c r="AR1" s="1486"/>
      <c r="AS1" s="1486"/>
      <c r="AT1" s="1486"/>
      <c r="AU1" s="1486"/>
      <c r="AV1" s="1486"/>
      <c r="AW1" s="1486"/>
      <c r="AX1" s="1486"/>
      <c r="AY1" s="1486"/>
      <c r="AZ1" s="37"/>
      <c r="BA1" s="37"/>
    </row>
    <row r="2" spans="1:53" ht="15" thickBot="1" x14ac:dyDescent="0.35">
      <c r="A2" s="1417"/>
      <c r="B2" s="1417"/>
      <c r="C2" s="1417"/>
      <c r="D2" s="1417"/>
      <c r="E2" s="1417"/>
      <c r="F2" s="1417"/>
      <c r="G2" s="1417"/>
      <c r="H2" s="1417"/>
      <c r="I2" s="1417"/>
      <c r="J2" s="1417"/>
      <c r="K2" s="1417"/>
      <c r="L2" s="1417"/>
      <c r="M2" s="1417"/>
      <c r="N2" s="1417"/>
      <c r="O2" s="1417"/>
      <c r="P2" s="1417"/>
      <c r="Q2" s="1417"/>
      <c r="R2" s="1417"/>
      <c r="S2" s="1417"/>
      <c r="T2" s="1417"/>
      <c r="U2" s="1417"/>
      <c r="V2" s="1417"/>
      <c r="W2" s="1417"/>
      <c r="X2" s="1417"/>
      <c r="Y2" s="1417"/>
      <c r="Z2" s="1417"/>
      <c r="AA2" s="1417"/>
      <c r="AB2" s="1417"/>
      <c r="AC2" s="1417"/>
      <c r="AD2" s="1417"/>
      <c r="AE2" s="1417"/>
      <c r="AF2" s="1417"/>
      <c r="AG2" s="1417"/>
      <c r="AH2" s="1417"/>
      <c r="AI2" s="1417"/>
      <c r="AJ2" s="1417"/>
      <c r="AK2" s="1417"/>
      <c r="AL2" s="1417"/>
      <c r="AM2" s="1417"/>
      <c r="AN2" s="1417"/>
      <c r="AO2" s="1417"/>
      <c r="AP2" s="1417"/>
      <c r="AQ2" s="1417"/>
      <c r="AR2" s="1417"/>
      <c r="AS2" s="1417"/>
      <c r="AT2" s="1417"/>
      <c r="AU2" s="1417"/>
      <c r="AV2" s="1417"/>
      <c r="AW2" s="1417"/>
      <c r="AX2" s="1417"/>
      <c r="AY2" s="1417"/>
      <c r="AZ2" s="38"/>
      <c r="BA2" s="38"/>
    </row>
    <row r="3" spans="1:53" s="670" customFormat="1" ht="46.5" customHeight="1" thickBot="1" x14ac:dyDescent="0.3">
      <c r="A3" s="1487" t="s">
        <v>14</v>
      </c>
      <c r="B3" s="1423" t="s">
        <v>158</v>
      </c>
      <c r="C3" s="1421"/>
      <c r="D3" s="1424" t="s">
        <v>159</v>
      </c>
      <c r="E3" s="1425"/>
      <c r="F3" s="1483" t="s">
        <v>160</v>
      </c>
      <c r="G3" s="1425"/>
      <c r="H3" s="1483" t="s">
        <v>161</v>
      </c>
      <c r="I3" s="1483"/>
      <c r="J3" s="1423" t="s">
        <v>162</v>
      </c>
      <c r="K3" s="1421"/>
      <c r="L3" s="1423" t="s">
        <v>163</v>
      </c>
      <c r="M3" s="1421"/>
      <c r="N3" s="1420" t="s">
        <v>312</v>
      </c>
      <c r="O3" s="1420"/>
      <c r="P3" s="1423" t="s">
        <v>164</v>
      </c>
      <c r="Q3" s="1421"/>
      <c r="R3" s="1420" t="s">
        <v>165</v>
      </c>
      <c r="S3" s="1421"/>
      <c r="T3" s="1424" t="s">
        <v>166</v>
      </c>
      <c r="U3" s="1425"/>
      <c r="V3" s="1483" t="s">
        <v>167</v>
      </c>
      <c r="W3" s="1425"/>
      <c r="X3" s="1483" t="s">
        <v>168</v>
      </c>
      <c r="Y3" s="1425"/>
      <c r="Z3" s="1484" t="s">
        <v>381</v>
      </c>
      <c r="AA3" s="1371"/>
      <c r="AB3" s="1483" t="s">
        <v>169</v>
      </c>
      <c r="AC3" s="1425"/>
      <c r="AD3" s="1481" t="s">
        <v>170</v>
      </c>
      <c r="AE3" s="1482"/>
      <c r="AF3" s="1483" t="s">
        <v>171</v>
      </c>
      <c r="AG3" s="1425"/>
      <c r="AH3" s="1483" t="s">
        <v>172</v>
      </c>
      <c r="AI3" s="1425"/>
      <c r="AJ3" s="1483" t="s">
        <v>173</v>
      </c>
      <c r="AK3" s="1425"/>
      <c r="AL3" s="1485" t="s">
        <v>174</v>
      </c>
      <c r="AM3" s="1482"/>
      <c r="AN3" s="1424" t="s">
        <v>175</v>
      </c>
      <c r="AO3" s="1425"/>
      <c r="AP3" s="1424" t="s">
        <v>176</v>
      </c>
      <c r="AQ3" s="1425"/>
      <c r="AR3" s="1483" t="s">
        <v>177</v>
      </c>
      <c r="AS3" s="1425"/>
      <c r="AT3" s="1483" t="s">
        <v>178</v>
      </c>
      <c r="AU3" s="1425"/>
      <c r="AV3" s="1424" t="s">
        <v>1</v>
      </c>
      <c r="AW3" s="1425"/>
      <c r="AX3" s="1485" t="s">
        <v>179</v>
      </c>
      <c r="AY3" s="1482"/>
      <c r="AZ3" s="1485" t="s">
        <v>2</v>
      </c>
      <c r="BA3" s="1482"/>
    </row>
    <row r="4" spans="1:53" ht="15" thickBot="1" x14ac:dyDescent="0.35">
      <c r="A4" s="1488"/>
      <c r="B4" s="965" t="s">
        <v>437</v>
      </c>
      <c r="C4" s="966" t="s">
        <v>420</v>
      </c>
      <c r="D4" s="965" t="s">
        <v>437</v>
      </c>
      <c r="E4" s="966" t="s">
        <v>420</v>
      </c>
      <c r="F4" s="1259" t="s">
        <v>437</v>
      </c>
      <c r="G4" s="966" t="s">
        <v>420</v>
      </c>
      <c r="H4" s="1259" t="s">
        <v>437</v>
      </c>
      <c r="I4" s="968" t="s">
        <v>420</v>
      </c>
      <c r="J4" s="965" t="s">
        <v>437</v>
      </c>
      <c r="K4" s="966" t="s">
        <v>420</v>
      </c>
      <c r="L4" s="965" t="s">
        <v>437</v>
      </c>
      <c r="M4" s="966" t="s">
        <v>420</v>
      </c>
      <c r="N4" s="1259" t="s">
        <v>437</v>
      </c>
      <c r="O4" s="968" t="s">
        <v>420</v>
      </c>
      <c r="P4" s="965" t="s">
        <v>437</v>
      </c>
      <c r="Q4" s="966" t="s">
        <v>420</v>
      </c>
      <c r="R4" s="1259" t="s">
        <v>437</v>
      </c>
      <c r="S4" s="966" t="s">
        <v>420</v>
      </c>
      <c r="T4" s="965" t="s">
        <v>437</v>
      </c>
      <c r="U4" s="966" t="s">
        <v>420</v>
      </c>
      <c r="V4" s="1259" t="s">
        <v>437</v>
      </c>
      <c r="W4" s="966" t="s">
        <v>420</v>
      </c>
      <c r="X4" s="1259" t="s">
        <v>437</v>
      </c>
      <c r="Y4" s="966" t="s">
        <v>420</v>
      </c>
      <c r="Z4" s="1259" t="s">
        <v>437</v>
      </c>
      <c r="AA4" s="966" t="s">
        <v>420</v>
      </c>
      <c r="AB4" s="1259" t="s">
        <v>437</v>
      </c>
      <c r="AC4" s="966" t="s">
        <v>420</v>
      </c>
      <c r="AD4" s="1259" t="s">
        <v>437</v>
      </c>
      <c r="AE4" s="966" t="s">
        <v>420</v>
      </c>
      <c r="AF4" s="1259" t="s">
        <v>437</v>
      </c>
      <c r="AG4" s="966" t="s">
        <v>420</v>
      </c>
      <c r="AH4" s="1259" t="s">
        <v>437</v>
      </c>
      <c r="AI4" s="966" t="s">
        <v>420</v>
      </c>
      <c r="AJ4" s="1259" t="s">
        <v>437</v>
      </c>
      <c r="AK4" s="966" t="s">
        <v>420</v>
      </c>
      <c r="AL4" s="965" t="s">
        <v>437</v>
      </c>
      <c r="AM4" s="966" t="s">
        <v>420</v>
      </c>
      <c r="AN4" s="965" t="s">
        <v>437</v>
      </c>
      <c r="AO4" s="966" t="s">
        <v>420</v>
      </c>
      <c r="AP4" s="965" t="s">
        <v>437</v>
      </c>
      <c r="AQ4" s="966" t="s">
        <v>420</v>
      </c>
      <c r="AR4" s="1259" t="s">
        <v>437</v>
      </c>
      <c r="AS4" s="966" t="s">
        <v>420</v>
      </c>
      <c r="AT4" s="1285" t="s">
        <v>437</v>
      </c>
      <c r="AU4" s="1286" t="s">
        <v>420</v>
      </c>
      <c r="AV4" s="965" t="s">
        <v>437</v>
      </c>
      <c r="AW4" s="966" t="s">
        <v>420</v>
      </c>
      <c r="AX4" s="965" t="s">
        <v>437</v>
      </c>
      <c r="AY4" s="966" t="s">
        <v>420</v>
      </c>
      <c r="AZ4" s="965" t="s">
        <v>437</v>
      </c>
      <c r="BA4" s="966" t="s">
        <v>420</v>
      </c>
    </row>
    <row r="5" spans="1:53" ht="15" x14ac:dyDescent="0.3">
      <c r="A5" s="39" t="s">
        <v>3</v>
      </c>
      <c r="B5" s="970">
        <v>87340</v>
      </c>
      <c r="C5" s="40">
        <v>95052</v>
      </c>
      <c r="D5" s="1261">
        <v>-2</v>
      </c>
      <c r="E5" s="42">
        <v>-6</v>
      </c>
      <c r="F5" s="41">
        <v>2858</v>
      </c>
      <c r="G5" s="42">
        <v>3735</v>
      </c>
      <c r="H5" s="41">
        <v>191782</v>
      </c>
      <c r="I5" s="292">
        <v>143537</v>
      </c>
      <c r="J5" s="1261">
        <v>47470</v>
      </c>
      <c r="K5" s="42">
        <v>50619</v>
      </c>
      <c r="L5" s="1261">
        <v>419</v>
      </c>
      <c r="M5" s="42">
        <v>635</v>
      </c>
      <c r="N5" s="41">
        <v>12098</v>
      </c>
      <c r="O5" s="292">
        <v>10277</v>
      </c>
      <c r="P5" s="1261">
        <v>24624</v>
      </c>
      <c r="Q5" s="42">
        <v>31180</v>
      </c>
      <c r="R5" s="41"/>
      <c r="S5" s="42">
        <v>57820</v>
      </c>
      <c r="T5" s="1261">
        <v>8013</v>
      </c>
      <c r="U5" s="42">
        <v>5869</v>
      </c>
      <c r="V5" s="41">
        <v>210183</v>
      </c>
      <c r="W5" s="42">
        <v>157380</v>
      </c>
      <c r="X5" s="41">
        <v>182597</v>
      </c>
      <c r="Y5" s="42">
        <v>171756</v>
      </c>
      <c r="Z5" s="1267">
        <v>3554</v>
      </c>
      <c r="AA5" s="44">
        <v>4502</v>
      </c>
      <c r="AB5" s="41">
        <v>9096</v>
      </c>
      <c r="AC5" s="42">
        <v>8562</v>
      </c>
      <c r="AD5" s="41">
        <v>115747</v>
      </c>
      <c r="AE5" s="42">
        <v>78971</v>
      </c>
      <c r="AF5" s="41">
        <v>112348</v>
      </c>
      <c r="AG5" s="42">
        <v>106189</v>
      </c>
      <c r="AH5" s="41">
        <v>18613</v>
      </c>
      <c r="AI5" s="42">
        <v>9798</v>
      </c>
      <c r="AJ5" s="167">
        <v>44089</v>
      </c>
      <c r="AK5" s="42">
        <v>56201</v>
      </c>
      <c r="AL5" s="284"/>
      <c r="AM5" s="257"/>
      <c r="AN5" s="289">
        <v>751955</v>
      </c>
      <c r="AO5" s="290">
        <v>667014</v>
      </c>
      <c r="AP5" s="45">
        <v>4020</v>
      </c>
      <c r="AQ5" s="46">
        <v>4908</v>
      </c>
      <c r="AR5" s="1275">
        <v>434</v>
      </c>
      <c r="AS5" s="1281">
        <v>19</v>
      </c>
      <c r="AT5" s="1289">
        <v>179776</v>
      </c>
      <c r="AU5" s="1290">
        <v>130893</v>
      </c>
      <c r="AV5" s="49">
        <f t="shared" ref="AV5:AV21" si="0">SUM(B5+D5+F5+H5+J5+L5+N5+P5+R5+T5+V5+X5+Z5+AB5+AD5+AF5+AH5+AJ5+AL5+AN5+AP5+AR5+AT5)</f>
        <v>2007014</v>
      </c>
      <c r="AW5" s="183">
        <f t="shared" ref="AW5:AW21" si="1">SUM(C5+E5+G5+I5+K5+M5+O5+Q5+S5+U5+W5+Y5+AA5+AC5+AE5+AG5+AI5+AK5+AM5+AO5+AQ5+AS5+AU5)</f>
        <v>1794911</v>
      </c>
      <c r="AX5" s="47">
        <v>19779469</v>
      </c>
      <c r="AY5" s="48">
        <v>20641416</v>
      </c>
      <c r="AZ5" s="49">
        <f t="shared" ref="AZ5:AZ21" si="2">AV5+AX5</f>
        <v>21786483</v>
      </c>
      <c r="BA5" s="50">
        <f t="shared" ref="BA5:BA21" si="3">AW5+AY5</f>
        <v>22436327</v>
      </c>
    </row>
    <row r="6" spans="1:53" ht="15" x14ac:dyDescent="0.3">
      <c r="A6" s="39" t="s">
        <v>4</v>
      </c>
      <c r="B6" s="971">
        <v>130298</v>
      </c>
      <c r="C6" s="52">
        <v>116484</v>
      </c>
      <c r="D6" s="806"/>
      <c r="E6" s="19"/>
      <c r="F6" s="18">
        <v>17066</v>
      </c>
      <c r="G6" s="19">
        <v>14429</v>
      </c>
      <c r="H6" s="18">
        <v>225450</v>
      </c>
      <c r="I6" s="17">
        <v>192847</v>
      </c>
      <c r="J6" s="806">
        <v>11891</v>
      </c>
      <c r="K6" s="19">
        <v>10843</v>
      </c>
      <c r="L6" s="806">
        <v>159183</v>
      </c>
      <c r="M6" s="19">
        <v>152940</v>
      </c>
      <c r="N6" s="18">
        <v>-1</v>
      </c>
      <c r="O6" s="17">
        <v>14</v>
      </c>
      <c r="P6" s="806">
        <v>12073</v>
      </c>
      <c r="Q6" s="19">
        <v>10097</v>
      </c>
      <c r="R6" s="18"/>
      <c r="S6" s="19">
        <v>10024</v>
      </c>
      <c r="T6" s="806">
        <v>7856</v>
      </c>
      <c r="U6" s="19">
        <v>6697</v>
      </c>
      <c r="V6" s="18">
        <v>453800</v>
      </c>
      <c r="W6" s="19">
        <v>432427</v>
      </c>
      <c r="X6" s="18">
        <v>226080</v>
      </c>
      <c r="Y6" s="19">
        <v>297299</v>
      </c>
      <c r="Z6" s="1268">
        <v>35209</v>
      </c>
      <c r="AA6" s="21">
        <v>33174</v>
      </c>
      <c r="AB6" s="18">
        <v>266619</v>
      </c>
      <c r="AC6" s="19">
        <v>208354</v>
      </c>
      <c r="AD6" s="18">
        <v>125828</v>
      </c>
      <c r="AE6" s="19">
        <v>135469</v>
      </c>
      <c r="AF6" s="18">
        <v>300588</v>
      </c>
      <c r="AG6" s="19">
        <v>322647</v>
      </c>
      <c r="AH6" s="18">
        <v>192267</v>
      </c>
      <c r="AI6" s="19">
        <v>163026</v>
      </c>
      <c r="AJ6" s="167">
        <v>6450</v>
      </c>
      <c r="AK6" s="19">
        <v>5046</v>
      </c>
      <c r="AL6" s="1"/>
      <c r="AM6" s="3"/>
      <c r="AN6" s="14">
        <v>1285355</v>
      </c>
      <c r="AO6" s="15">
        <v>1113968</v>
      </c>
      <c r="AP6" s="22"/>
      <c r="AQ6" s="23">
        <v>559</v>
      </c>
      <c r="AR6" s="1276">
        <v>190050</v>
      </c>
      <c r="AS6" s="1282">
        <v>128223</v>
      </c>
      <c r="AT6" s="806">
        <v>253098</v>
      </c>
      <c r="AU6" s="19">
        <v>218730</v>
      </c>
      <c r="AV6" s="49">
        <f t="shared" si="0"/>
        <v>3899160</v>
      </c>
      <c r="AW6" s="183">
        <f t="shared" si="1"/>
        <v>3573297</v>
      </c>
      <c r="AX6" s="24">
        <v>198092</v>
      </c>
      <c r="AY6" s="25">
        <v>216518</v>
      </c>
      <c r="AZ6" s="49">
        <f t="shared" si="2"/>
        <v>4097252</v>
      </c>
      <c r="BA6" s="50">
        <f t="shared" si="3"/>
        <v>3789815</v>
      </c>
    </row>
    <row r="7" spans="1:53" ht="15" x14ac:dyDescent="0.3">
      <c r="A7" s="39" t="s">
        <v>5</v>
      </c>
      <c r="B7" s="971">
        <v>443</v>
      </c>
      <c r="C7" s="52">
        <v>201</v>
      </c>
      <c r="D7" s="806">
        <v>-19</v>
      </c>
      <c r="E7" s="19">
        <v>-8</v>
      </c>
      <c r="F7" s="18">
        <v>590</v>
      </c>
      <c r="G7" s="19">
        <v>951</v>
      </c>
      <c r="H7" s="18">
        <v>23272</v>
      </c>
      <c r="I7" s="17">
        <v>32832</v>
      </c>
      <c r="J7" s="806">
        <v>11328</v>
      </c>
      <c r="K7" s="19">
        <v>16772</v>
      </c>
      <c r="L7" s="806">
        <v>4194</v>
      </c>
      <c r="M7" s="19">
        <v>149</v>
      </c>
      <c r="N7" s="18">
        <v>7152</v>
      </c>
      <c r="O7" s="17">
        <v>3652</v>
      </c>
      <c r="P7" s="806">
        <v>4867</v>
      </c>
      <c r="Q7" s="19">
        <v>4587</v>
      </c>
      <c r="R7" s="18"/>
      <c r="S7" s="19">
        <v>2538</v>
      </c>
      <c r="T7" s="806">
        <v>4514</v>
      </c>
      <c r="U7" s="19">
        <v>2610</v>
      </c>
      <c r="V7" s="18">
        <v>72425</v>
      </c>
      <c r="W7" s="19">
        <v>60476</v>
      </c>
      <c r="X7" s="18">
        <v>34587</v>
      </c>
      <c r="Y7" s="19">
        <v>31955</v>
      </c>
      <c r="Z7" s="1268"/>
      <c r="AA7" s="21"/>
      <c r="AB7" s="18">
        <v>954</v>
      </c>
      <c r="AC7" s="19">
        <v>4481</v>
      </c>
      <c r="AD7" s="18">
        <v>4475</v>
      </c>
      <c r="AE7" s="19">
        <v>2076</v>
      </c>
      <c r="AF7" s="18">
        <v>11440</v>
      </c>
      <c r="AG7" s="19">
        <v>8079</v>
      </c>
      <c r="AH7" s="18">
        <v>6450</v>
      </c>
      <c r="AI7" s="19">
        <v>8040</v>
      </c>
      <c r="AJ7" s="167">
        <v>14632</v>
      </c>
      <c r="AK7" s="19">
        <v>11971</v>
      </c>
      <c r="AL7" s="1"/>
      <c r="AM7" s="3"/>
      <c r="AN7" s="14">
        <v>127781</v>
      </c>
      <c r="AO7" s="15">
        <v>87304</v>
      </c>
      <c r="AP7" s="22">
        <v>150570</v>
      </c>
      <c r="AQ7" s="23">
        <v>149298</v>
      </c>
      <c r="AR7" s="1276">
        <v>297</v>
      </c>
      <c r="AS7" s="1282"/>
      <c r="AT7" s="806">
        <v>8708</v>
      </c>
      <c r="AU7" s="19">
        <v>5744</v>
      </c>
      <c r="AV7" s="49">
        <f t="shared" si="0"/>
        <v>488660</v>
      </c>
      <c r="AW7" s="183">
        <f t="shared" si="1"/>
        <v>433708</v>
      </c>
      <c r="AX7" s="24">
        <v>28639</v>
      </c>
      <c r="AY7" s="25">
        <v>28360</v>
      </c>
      <c r="AZ7" s="49">
        <f t="shared" si="2"/>
        <v>517299</v>
      </c>
      <c r="BA7" s="50">
        <f t="shared" si="3"/>
        <v>462068</v>
      </c>
    </row>
    <row r="8" spans="1:53" ht="15" x14ac:dyDescent="0.3">
      <c r="A8" s="39" t="s">
        <v>6</v>
      </c>
      <c r="B8" s="971">
        <v>4808</v>
      </c>
      <c r="C8" s="52">
        <v>1950</v>
      </c>
      <c r="D8" s="806">
        <v>2129</v>
      </c>
      <c r="E8" s="19">
        <v>3439</v>
      </c>
      <c r="F8" s="18">
        <v>754</v>
      </c>
      <c r="G8" s="19">
        <v>164</v>
      </c>
      <c r="H8" s="18">
        <v>101399</v>
      </c>
      <c r="I8" s="17">
        <v>48636</v>
      </c>
      <c r="J8" s="806">
        <v>16169</v>
      </c>
      <c r="K8" s="19">
        <v>17587</v>
      </c>
      <c r="L8" s="806">
        <v>5714</v>
      </c>
      <c r="M8" s="19">
        <v>4928</v>
      </c>
      <c r="N8" s="18">
        <v>19</v>
      </c>
      <c r="O8" s="17">
        <v>-3</v>
      </c>
      <c r="P8" s="806">
        <v>1618</v>
      </c>
      <c r="Q8" s="19">
        <v>2623</v>
      </c>
      <c r="R8" s="18"/>
      <c r="S8" s="19">
        <v>39217</v>
      </c>
      <c r="T8" s="806">
        <v>1582</v>
      </c>
      <c r="U8" s="19">
        <v>844</v>
      </c>
      <c r="V8" s="18">
        <v>93537</v>
      </c>
      <c r="W8" s="19">
        <v>60090</v>
      </c>
      <c r="X8" s="18">
        <v>71639</v>
      </c>
      <c r="Y8" s="19">
        <v>46043</v>
      </c>
      <c r="Z8" s="1268">
        <v>843</v>
      </c>
      <c r="AA8" s="21">
        <v>1449</v>
      </c>
      <c r="AB8" s="18">
        <v>11337</v>
      </c>
      <c r="AC8" s="19">
        <v>7699</v>
      </c>
      <c r="AD8" s="18">
        <v>10169</v>
      </c>
      <c r="AE8" s="19">
        <v>9241</v>
      </c>
      <c r="AF8" s="18">
        <v>73887</v>
      </c>
      <c r="AG8" s="19">
        <v>67867</v>
      </c>
      <c r="AH8" s="18">
        <v>26914</v>
      </c>
      <c r="AI8" s="19">
        <v>6543</v>
      </c>
      <c r="AJ8" s="167">
        <v>6407</v>
      </c>
      <c r="AK8" s="19">
        <v>5647</v>
      </c>
      <c r="AL8" s="1"/>
      <c r="AM8" s="3"/>
      <c r="AN8" s="288">
        <v>1966</v>
      </c>
      <c r="AO8" s="291">
        <v>587</v>
      </c>
      <c r="AP8" s="22">
        <v>30574</v>
      </c>
      <c r="AQ8" s="23">
        <v>26747</v>
      </c>
      <c r="AR8" s="1276">
        <v>1051</v>
      </c>
      <c r="AS8" s="1282">
        <v>18</v>
      </c>
      <c r="AT8" s="806">
        <v>167321</v>
      </c>
      <c r="AU8" s="19">
        <v>116572</v>
      </c>
      <c r="AV8" s="49">
        <f t="shared" si="0"/>
        <v>629837</v>
      </c>
      <c r="AW8" s="183">
        <f t="shared" si="1"/>
        <v>467888</v>
      </c>
      <c r="AX8" s="24">
        <v>4166</v>
      </c>
      <c r="AY8" s="25">
        <v>1492</v>
      </c>
      <c r="AZ8" s="49">
        <f t="shared" si="2"/>
        <v>634003</v>
      </c>
      <c r="BA8" s="50">
        <f t="shared" si="3"/>
        <v>469380</v>
      </c>
    </row>
    <row r="9" spans="1:53" ht="15" x14ac:dyDescent="0.3">
      <c r="A9" s="39" t="s">
        <v>7</v>
      </c>
      <c r="B9" s="971"/>
      <c r="C9" s="52"/>
      <c r="D9" s="806"/>
      <c r="E9" s="19"/>
      <c r="F9" s="18"/>
      <c r="G9" s="19"/>
      <c r="H9" s="18"/>
      <c r="I9" s="17"/>
      <c r="J9" s="806"/>
      <c r="K9" s="19"/>
      <c r="L9" s="806"/>
      <c r="M9" s="19"/>
      <c r="N9" s="18"/>
      <c r="O9" s="17"/>
      <c r="P9" s="806"/>
      <c r="Q9" s="19"/>
      <c r="R9" s="18"/>
      <c r="S9" s="19"/>
      <c r="T9" s="806"/>
      <c r="U9" s="19"/>
      <c r="V9" s="18"/>
      <c r="W9" s="19"/>
      <c r="X9" s="18"/>
      <c r="Y9" s="19"/>
      <c r="Z9" s="1268"/>
      <c r="AA9" s="21"/>
      <c r="AB9" s="18"/>
      <c r="AC9" s="19"/>
      <c r="AD9" s="1269">
        <v>1131</v>
      </c>
      <c r="AE9" s="271">
        <v>5241</v>
      </c>
      <c r="AF9" s="18"/>
      <c r="AG9" s="19"/>
      <c r="AH9" s="18"/>
      <c r="AI9" s="19"/>
      <c r="AJ9" s="167"/>
      <c r="AK9" s="19"/>
      <c r="AL9" s="1"/>
      <c r="AM9" s="3"/>
      <c r="AN9" s="64"/>
      <c r="AO9" s="65"/>
      <c r="AP9" s="22"/>
      <c r="AQ9" s="23"/>
      <c r="AR9" s="1276"/>
      <c r="AS9" s="1282"/>
      <c r="AT9" s="806">
        <v>10092</v>
      </c>
      <c r="AU9" s="19">
        <v>21886</v>
      </c>
      <c r="AV9" s="41">
        <f t="shared" si="0"/>
        <v>11223</v>
      </c>
      <c r="AW9" s="42">
        <f t="shared" si="1"/>
        <v>27127</v>
      </c>
      <c r="AX9" s="16">
        <v>289772</v>
      </c>
      <c r="AY9" s="19">
        <v>732007</v>
      </c>
      <c r="AZ9" s="41">
        <f t="shared" si="2"/>
        <v>300995</v>
      </c>
      <c r="BA9" s="610">
        <f t="shared" si="3"/>
        <v>759134</v>
      </c>
    </row>
    <row r="10" spans="1:53" ht="15" x14ac:dyDescent="0.3">
      <c r="A10" s="39" t="s">
        <v>15</v>
      </c>
      <c r="B10" s="971"/>
      <c r="C10" s="52"/>
      <c r="D10" s="806"/>
      <c r="E10" s="19"/>
      <c r="F10" s="18"/>
      <c r="G10" s="19"/>
      <c r="H10" s="18"/>
      <c r="I10" s="17"/>
      <c r="J10" s="806"/>
      <c r="K10" s="19"/>
      <c r="L10" s="806"/>
      <c r="M10" s="19"/>
      <c r="N10" s="18"/>
      <c r="O10" s="17"/>
      <c r="P10" s="806"/>
      <c r="Q10" s="19"/>
      <c r="R10" s="18"/>
      <c r="S10" s="19"/>
      <c r="T10" s="806"/>
      <c r="U10" s="19"/>
      <c r="V10" s="18"/>
      <c r="W10" s="19"/>
      <c r="X10" s="18"/>
      <c r="Y10" s="19"/>
      <c r="Z10" s="18"/>
      <c r="AA10" s="19"/>
      <c r="AB10" s="18">
        <v>15464</v>
      </c>
      <c r="AC10" s="19">
        <v>18307</v>
      </c>
      <c r="AD10" s="18">
        <v>6611</v>
      </c>
      <c r="AE10" s="19">
        <v>6641</v>
      </c>
      <c r="AF10" s="18"/>
      <c r="AG10" s="19"/>
      <c r="AH10" s="18"/>
      <c r="AI10" s="19"/>
      <c r="AJ10" s="167"/>
      <c r="AK10" s="19"/>
      <c r="AL10" s="1"/>
      <c r="AM10" s="3"/>
      <c r="AN10" s="64"/>
      <c r="AO10" s="65"/>
      <c r="AP10" s="22"/>
      <c r="AQ10" s="23"/>
      <c r="AR10" s="1276"/>
      <c r="AS10" s="1282"/>
      <c r="AT10" s="806"/>
      <c r="AU10" s="19"/>
      <c r="AV10" s="49">
        <f t="shared" si="0"/>
        <v>22075</v>
      </c>
      <c r="AW10" s="183">
        <f t="shared" si="1"/>
        <v>24948</v>
      </c>
      <c r="AX10" s="24">
        <v>95455</v>
      </c>
      <c r="AY10" s="25">
        <v>63487</v>
      </c>
      <c r="AZ10" s="49">
        <f t="shared" si="2"/>
        <v>117530</v>
      </c>
      <c r="BA10" s="50">
        <f t="shared" si="3"/>
        <v>88435</v>
      </c>
    </row>
    <row r="11" spans="1:53" ht="15" x14ac:dyDescent="0.3">
      <c r="A11" s="1198" t="s">
        <v>8</v>
      </c>
      <c r="B11" s="971"/>
      <c r="C11" s="52"/>
      <c r="D11" s="806"/>
      <c r="E11" s="19"/>
      <c r="F11" s="18"/>
      <c r="G11" s="19"/>
      <c r="H11" s="18"/>
      <c r="I11" s="17"/>
      <c r="J11" s="806"/>
      <c r="K11" s="19"/>
      <c r="L11" s="806"/>
      <c r="M11" s="19"/>
      <c r="N11" s="18"/>
      <c r="O11" s="17"/>
      <c r="P11" s="806"/>
      <c r="Q11" s="19"/>
      <c r="R11" s="18"/>
      <c r="S11" s="19"/>
      <c r="T11" s="806"/>
      <c r="U11" s="19"/>
      <c r="V11" s="18"/>
      <c r="W11" s="19"/>
      <c r="X11" s="18"/>
      <c r="Y11" s="19"/>
      <c r="Z11" s="18"/>
      <c r="AA11" s="19"/>
      <c r="AB11" s="18">
        <v>9635</v>
      </c>
      <c r="AC11" s="19">
        <v>18068</v>
      </c>
      <c r="AD11" s="18"/>
      <c r="AE11" s="19"/>
      <c r="AF11" s="18"/>
      <c r="AG11" s="19"/>
      <c r="AH11" s="18"/>
      <c r="AI11" s="19"/>
      <c r="AJ11" s="167"/>
      <c r="AK11" s="19"/>
      <c r="AL11" s="1"/>
      <c r="AM11" s="3"/>
      <c r="AN11" s="14"/>
      <c r="AO11" s="15"/>
      <c r="AP11" s="22"/>
      <c r="AQ11" s="23"/>
      <c r="AR11" s="1276"/>
      <c r="AS11" s="1282"/>
      <c r="AT11" s="806"/>
      <c r="AU11" s="19"/>
      <c r="AV11" s="49">
        <f t="shared" si="0"/>
        <v>9635</v>
      </c>
      <c r="AW11" s="183">
        <f t="shared" si="1"/>
        <v>18068</v>
      </c>
      <c r="AX11" s="24"/>
      <c r="AY11" s="25"/>
      <c r="AZ11" s="49">
        <f t="shared" si="2"/>
        <v>9635</v>
      </c>
      <c r="BA11" s="50">
        <f t="shared" si="3"/>
        <v>18068</v>
      </c>
    </row>
    <row r="12" spans="1:53" ht="15" x14ac:dyDescent="0.3">
      <c r="A12" s="39" t="s">
        <v>421</v>
      </c>
      <c r="B12" s="971">
        <v>1303</v>
      </c>
      <c r="C12" s="52">
        <v>2205</v>
      </c>
      <c r="D12" s="806">
        <v>868</v>
      </c>
      <c r="E12" s="19">
        <v>1510</v>
      </c>
      <c r="F12" s="18">
        <v>14</v>
      </c>
      <c r="G12" s="19">
        <v>103</v>
      </c>
      <c r="H12" s="18">
        <v>4772</v>
      </c>
      <c r="I12" s="17">
        <v>3087</v>
      </c>
      <c r="J12" s="806">
        <v>9591</v>
      </c>
      <c r="K12" s="19">
        <v>9927</v>
      </c>
      <c r="L12" s="806">
        <v>1902</v>
      </c>
      <c r="M12" s="19">
        <v>3349</v>
      </c>
      <c r="N12" s="18"/>
      <c r="O12" s="17"/>
      <c r="P12" s="806">
        <v>1356</v>
      </c>
      <c r="Q12" s="19">
        <v>1821</v>
      </c>
      <c r="R12" s="18"/>
      <c r="S12" s="19"/>
      <c r="T12" s="806">
        <v>72</v>
      </c>
      <c r="U12" s="19">
        <v>73</v>
      </c>
      <c r="V12" s="18">
        <v>72499</v>
      </c>
      <c r="W12" s="19">
        <v>107666</v>
      </c>
      <c r="X12" s="18">
        <v>19868</v>
      </c>
      <c r="Y12" s="19">
        <v>23087</v>
      </c>
      <c r="Z12" s="18">
        <v>4</v>
      </c>
      <c r="AA12" s="19">
        <v>11</v>
      </c>
      <c r="AB12" s="18"/>
      <c r="AC12" s="19"/>
      <c r="AD12" s="18">
        <v>4277</v>
      </c>
      <c r="AE12" s="19">
        <v>2475</v>
      </c>
      <c r="AF12" s="18">
        <v>35321</v>
      </c>
      <c r="AG12" s="19">
        <v>38581</v>
      </c>
      <c r="AH12" s="18">
        <v>599</v>
      </c>
      <c r="AI12" s="19">
        <v>1013</v>
      </c>
      <c r="AJ12" s="167"/>
      <c r="AK12" s="19">
        <v>14</v>
      </c>
      <c r="AL12" s="1"/>
      <c r="AM12" s="3"/>
      <c r="AN12" s="14">
        <v>7468</v>
      </c>
      <c r="AO12" s="15">
        <v>35929</v>
      </c>
      <c r="AP12" s="22">
        <v>6690</v>
      </c>
      <c r="AQ12" s="23">
        <v>5764</v>
      </c>
      <c r="AR12" s="1276"/>
      <c r="AS12" s="1282"/>
      <c r="AT12" s="806">
        <v>9543</v>
      </c>
      <c r="AU12" s="19">
        <v>6598</v>
      </c>
      <c r="AV12" s="49">
        <f t="shared" si="0"/>
        <v>176147</v>
      </c>
      <c r="AW12" s="183">
        <f t="shared" si="1"/>
        <v>243213</v>
      </c>
      <c r="AX12" s="24">
        <v>12696</v>
      </c>
      <c r="AY12" s="25">
        <v>13933</v>
      </c>
      <c r="AZ12" s="49">
        <f t="shared" si="2"/>
        <v>188843</v>
      </c>
      <c r="BA12" s="50">
        <f t="shared" si="3"/>
        <v>257146</v>
      </c>
    </row>
    <row r="13" spans="1:53" ht="15" x14ac:dyDescent="0.3">
      <c r="A13" s="39" t="s">
        <v>422</v>
      </c>
      <c r="B13" s="971">
        <v>15864</v>
      </c>
      <c r="C13" s="52">
        <v>8133</v>
      </c>
      <c r="D13" s="806"/>
      <c r="E13" s="19">
        <v>2165</v>
      </c>
      <c r="F13" s="18">
        <v>5918</v>
      </c>
      <c r="G13" s="19">
        <v>5132</v>
      </c>
      <c r="H13" s="18">
        <v>66711</v>
      </c>
      <c r="I13" s="17">
        <v>49242</v>
      </c>
      <c r="J13" s="806">
        <v>7639</v>
      </c>
      <c r="K13" s="19">
        <v>16033</v>
      </c>
      <c r="L13" s="806">
        <v>9537</v>
      </c>
      <c r="M13" s="19">
        <v>4680</v>
      </c>
      <c r="N13" s="18">
        <v>15145</v>
      </c>
      <c r="O13" s="17">
        <v>14907</v>
      </c>
      <c r="P13" s="806">
        <v>11062</v>
      </c>
      <c r="Q13" s="19">
        <v>15126</v>
      </c>
      <c r="R13" s="18"/>
      <c r="S13" s="19">
        <v>10399</v>
      </c>
      <c r="T13" s="806">
        <v>20027</v>
      </c>
      <c r="U13" s="19">
        <v>22566</v>
      </c>
      <c r="V13" s="18">
        <v>91969</v>
      </c>
      <c r="W13" s="19">
        <v>86215</v>
      </c>
      <c r="X13" s="18">
        <v>62601</v>
      </c>
      <c r="Y13" s="19">
        <v>74230</v>
      </c>
      <c r="Z13" s="18">
        <v>7335</v>
      </c>
      <c r="AA13" s="19">
        <v>5009</v>
      </c>
      <c r="AB13" s="18"/>
      <c r="AC13" s="19"/>
      <c r="AD13" s="18">
        <v>77115</v>
      </c>
      <c r="AE13" s="19">
        <v>95385</v>
      </c>
      <c r="AF13" s="18">
        <v>58714</v>
      </c>
      <c r="AG13" s="19">
        <v>48845</v>
      </c>
      <c r="AH13" s="18">
        <v>38688</v>
      </c>
      <c r="AI13" s="19">
        <v>56789</v>
      </c>
      <c r="AJ13" s="167">
        <v>76782</v>
      </c>
      <c r="AK13" s="19">
        <v>76884</v>
      </c>
      <c r="AL13" s="1"/>
      <c r="AM13" s="3"/>
      <c r="AN13" s="14">
        <v>19044</v>
      </c>
      <c r="AO13" s="15">
        <v>14207</v>
      </c>
      <c r="AP13" s="22">
        <v>96290</v>
      </c>
      <c r="AQ13" s="23">
        <v>84260</v>
      </c>
      <c r="AR13" s="1276">
        <v>2828</v>
      </c>
      <c r="AS13" s="1282">
        <v>544</v>
      </c>
      <c r="AT13" s="806">
        <v>23943</v>
      </c>
      <c r="AU13" s="19">
        <v>16815</v>
      </c>
      <c r="AV13" s="49">
        <f t="shared" si="0"/>
        <v>707212</v>
      </c>
      <c r="AW13" s="183">
        <f t="shared" si="1"/>
        <v>707566</v>
      </c>
      <c r="AX13" s="24"/>
      <c r="AY13" s="25">
        <v>2107</v>
      </c>
      <c r="AZ13" s="49">
        <f t="shared" si="2"/>
        <v>707212</v>
      </c>
      <c r="BA13" s="50">
        <f t="shared" si="3"/>
        <v>709673</v>
      </c>
    </row>
    <row r="14" spans="1:53" ht="15" x14ac:dyDescent="0.3">
      <c r="A14" s="39" t="s">
        <v>16</v>
      </c>
      <c r="B14" s="971">
        <v>3333</v>
      </c>
      <c r="C14" s="52">
        <v>1057</v>
      </c>
      <c r="D14" s="806"/>
      <c r="E14" s="19"/>
      <c r="F14" s="18">
        <v>492</v>
      </c>
      <c r="G14" s="19"/>
      <c r="H14" s="18">
        <v>431</v>
      </c>
      <c r="I14" s="17">
        <v>1230</v>
      </c>
      <c r="J14" s="806">
        <v>1122</v>
      </c>
      <c r="K14" s="19">
        <v>68</v>
      </c>
      <c r="L14" s="806">
        <v>4252</v>
      </c>
      <c r="M14" s="19">
        <v>10566</v>
      </c>
      <c r="N14" s="18"/>
      <c r="O14" s="17"/>
      <c r="P14" s="806">
        <v>986</v>
      </c>
      <c r="Q14" s="19"/>
      <c r="R14" s="18"/>
      <c r="S14" s="19">
        <v>5492</v>
      </c>
      <c r="T14" s="806"/>
      <c r="U14" s="19"/>
      <c r="V14" s="18">
        <v>292</v>
      </c>
      <c r="W14" s="19"/>
      <c r="X14" s="18">
        <v>271</v>
      </c>
      <c r="Y14" s="19"/>
      <c r="Z14" s="18">
        <v>62</v>
      </c>
      <c r="AA14" s="19">
        <v>205</v>
      </c>
      <c r="AB14" s="18"/>
      <c r="AC14" s="19"/>
      <c r="AD14" s="18">
        <v>211</v>
      </c>
      <c r="AE14" s="19">
        <v>2870</v>
      </c>
      <c r="AF14" s="18"/>
      <c r="AG14" s="19"/>
      <c r="AH14" s="18"/>
      <c r="AI14" s="19"/>
      <c r="AJ14" s="167"/>
      <c r="AK14" s="19"/>
      <c r="AL14" s="1"/>
      <c r="AM14" s="3"/>
      <c r="AN14" s="14">
        <v>3553</v>
      </c>
      <c r="AO14" s="15">
        <v>3220</v>
      </c>
      <c r="AP14" s="22">
        <v>5</v>
      </c>
      <c r="AQ14" s="23"/>
      <c r="AR14" s="1276"/>
      <c r="AS14" s="1282"/>
      <c r="AT14" s="806"/>
      <c r="AU14" s="19"/>
      <c r="AV14" s="49">
        <f t="shared" si="0"/>
        <v>15010</v>
      </c>
      <c r="AW14" s="183">
        <f t="shared" si="1"/>
        <v>24708</v>
      </c>
      <c r="AX14" s="24">
        <v>845</v>
      </c>
      <c r="AY14" s="25">
        <v>1725</v>
      </c>
      <c r="AZ14" s="49">
        <f t="shared" si="2"/>
        <v>15855</v>
      </c>
      <c r="BA14" s="50">
        <f t="shared" si="3"/>
        <v>26433</v>
      </c>
    </row>
    <row r="15" spans="1:53" ht="15" x14ac:dyDescent="0.3">
      <c r="A15" s="39" t="s">
        <v>17</v>
      </c>
      <c r="B15" s="971"/>
      <c r="C15" s="52"/>
      <c r="D15" s="806"/>
      <c r="E15" s="19"/>
      <c r="F15" s="18">
        <v>542</v>
      </c>
      <c r="G15" s="19">
        <v>291</v>
      </c>
      <c r="H15" s="18"/>
      <c r="I15" s="17"/>
      <c r="J15" s="806"/>
      <c r="K15" s="19"/>
      <c r="L15" s="806"/>
      <c r="M15" s="19"/>
      <c r="N15" s="18"/>
      <c r="O15" s="17"/>
      <c r="P15" s="806"/>
      <c r="Q15" s="19"/>
      <c r="R15" s="18"/>
      <c r="S15" s="19"/>
      <c r="T15" s="806">
        <v>363</v>
      </c>
      <c r="U15" s="19">
        <v>406</v>
      </c>
      <c r="V15" s="18">
        <v>289</v>
      </c>
      <c r="W15" s="19">
        <v>252</v>
      </c>
      <c r="X15" s="18">
        <v>1654</v>
      </c>
      <c r="Y15" s="19">
        <v>1279</v>
      </c>
      <c r="Z15" s="18"/>
      <c r="AA15" s="19"/>
      <c r="AB15" s="18"/>
      <c r="AC15" s="19"/>
      <c r="AD15" s="18">
        <v>2</v>
      </c>
      <c r="AE15" s="19"/>
      <c r="AF15" s="18">
        <v>3280</v>
      </c>
      <c r="AG15" s="19">
        <v>3956</v>
      </c>
      <c r="AH15" s="18">
        <v>3939</v>
      </c>
      <c r="AI15" s="19">
        <v>3915</v>
      </c>
      <c r="AJ15" s="167"/>
      <c r="AK15" s="19"/>
      <c r="AL15" s="1"/>
      <c r="AM15" s="3"/>
      <c r="AN15" s="14">
        <v>7</v>
      </c>
      <c r="AO15" s="15">
        <v>18</v>
      </c>
      <c r="AP15" s="22">
        <v>75</v>
      </c>
      <c r="AQ15" s="23"/>
      <c r="AR15" s="1276">
        <v>252</v>
      </c>
      <c r="AS15" s="1282"/>
      <c r="AT15" s="806"/>
      <c r="AU15" s="19"/>
      <c r="AV15" s="49">
        <f t="shared" si="0"/>
        <v>10403</v>
      </c>
      <c r="AW15" s="183">
        <f t="shared" si="1"/>
        <v>10117</v>
      </c>
      <c r="AX15" s="24">
        <v>19803</v>
      </c>
      <c r="AY15" s="25">
        <v>17650</v>
      </c>
      <c r="AZ15" s="49">
        <f t="shared" si="2"/>
        <v>30206</v>
      </c>
      <c r="BA15" s="50">
        <f t="shared" si="3"/>
        <v>27767</v>
      </c>
    </row>
    <row r="16" spans="1:53" ht="15" x14ac:dyDescent="0.3">
      <c r="A16" s="39" t="s">
        <v>18</v>
      </c>
      <c r="B16" s="971"/>
      <c r="C16" s="52"/>
      <c r="D16" s="806"/>
      <c r="E16" s="19"/>
      <c r="F16" s="18"/>
      <c r="G16" s="19"/>
      <c r="H16" s="18"/>
      <c r="I16" s="17"/>
      <c r="J16" s="806"/>
      <c r="K16" s="19"/>
      <c r="L16" s="806"/>
      <c r="M16" s="19"/>
      <c r="N16" s="18"/>
      <c r="O16" s="17"/>
      <c r="P16" s="806"/>
      <c r="Q16" s="19"/>
      <c r="R16" s="18"/>
      <c r="S16" s="19"/>
      <c r="T16" s="806"/>
      <c r="U16" s="19"/>
      <c r="V16" s="18"/>
      <c r="W16" s="19"/>
      <c r="X16" s="18"/>
      <c r="Y16" s="19"/>
      <c r="Z16" s="18"/>
      <c r="AA16" s="19"/>
      <c r="AB16" s="18"/>
      <c r="AC16" s="19"/>
      <c r="AD16" s="18"/>
      <c r="AE16" s="19"/>
      <c r="AF16" s="18"/>
      <c r="AG16" s="19"/>
      <c r="AH16" s="18"/>
      <c r="AI16" s="19"/>
      <c r="AJ16" s="167"/>
      <c r="AK16" s="19"/>
      <c r="AL16" s="1"/>
      <c r="AM16" s="3"/>
      <c r="AN16" s="14"/>
      <c r="AO16" s="15"/>
      <c r="AP16" s="22"/>
      <c r="AQ16" s="23"/>
      <c r="AR16" s="1276"/>
      <c r="AS16" s="1282"/>
      <c r="AT16" s="806"/>
      <c r="AU16" s="19"/>
      <c r="AV16" s="49">
        <f t="shared" si="0"/>
        <v>0</v>
      </c>
      <c r="AW16" s="183">
        <f t="shared" si="1"/>
        <v>0</v>
      </c>
      <c r="AX16" s="24"/>
      <c r="AY16" s="25"/>
      <c r="AZ16" s="49">
        <f t="shared" si="2"/>
        <v>0</v>
      </c>
      <c r="BA16" s="50">
        <f t="shared" si="3"/>
        <v>0</v>
      </c>
    </row>
    <row r="17" spans="1:53" ht="15" x14ac:dyDescent="0.3">
      <c r="A17" s="39" t="s">
        <v>19</v>
      </c>
      <c r="B17" s="972"/>
      <c r="C17" s="530">
        <v>416</v>
      </c>
      <c r="D17" s="1262">
        <v>20</v>
      </c>
      <c r="E17" s="531">
        <v>2230</v>
      </c>
      <c r="F17" s="1260"/>
      <c r="G17" s="531"/>
      <c r="H17" s="1260">
        <v>-612</v>
      </c>
      <c r="I17" s="532">
        <v>3563</v>
      </c>
      <c r="J17" s="1262">
        <v>-3</v>
      </c>
      <c r="K17" s="531">
        <v>34</v>
      </c>
      <c r="L17" s="1262">
        <v>1478</v>
      </c>
      <c r="M17" s="531">
        <v>879</v>
      </c>
      <c r="N17" s="1260"/>
      <c r="O17" s="532"/>
      <c r="P17" s="1262">
        <v>7</v>
      </c>
      <c r="Q17" s="531">
        <v>104</v>
      </c>
      <c r="R17" s="1260"/>
      <c r="S17" s="531"/>
      <c r="T17" s="1262"/>
      <c r="U17" s="531"/>
      <c r="V17" s="1260">
        <v>194</v>
      </c>
      <c r="W17" s="531">
        <v>10596</v>
      </c>
      <c r="X17" s="1260">
        <v>235</v>
      </c>
      <c r="Y17" s="531">
        <v>5680</v>
      </c>
      <c r="Z17" s="1260"/>
      <c r="AA17" s="531"/>
      <c r="AB17" s="1260">
        <v>9</v>
      </c>
      <c r="AC17" s="531"/>
      <c r="AD17" s="1260">
        <v>119</v>
      </c>
      <c r="AE17" s="531">
        <v>871</v>
      </c>
      <c r="AF17" s="1260">
        <v>1566</v>
      </c>
      <c r="AG17" s="531">
        <v>17835</v>
      </c>
      <c r="AH17" s="1260">
        <v>223</v>
      </c>
      <c r="AI17" s="531">
        <v>8087</v>
      </c>
      <c r="AJ17" s="832"/>
      <c r="AK17" s="531"/>
      <c r="AL17" s="224"/>
      <c r="AM17" s="228"/>
      <c r="AN17" s="533"/>
      <c r="AO17" s="534">
        <v>673</v>
      </c>
      <c r="AP17" s="535">
        <v>-2</v>
      </c>
      <c r="AQ17" s="536">
        <v>-3</v>
      </c>
      <c r="AR17" s="1277"/>
      <c r="AS17" s="1283"/>
      <c r="AT17" s="806">
        <v>57</v>
      </c>
      <c r="AU17" s="19">
        <v>14283</v>
      </c>
      <c r="AV17" s="540">
        <f t="shared" si="0"/>
        <v>3291</v>
      </c>
      <c r="AW17" s="539">
        <f t="shared" si="1"/>
        <v>65248</v>
      </c>
      <c r="AX17" s="537"/>
      <c r="AY17" s="538"/>
      <c r="AZ17" s="540">
        <f t="shared" si="2"/>
        <v>3291</v>
      </c>
      <c r="BA17" s="541">
        <f t="shared" si="3"/>
        <v>65248</v>
      </c>
    </row>
    <row r="18" spans="1:53" ht="15.75" thickBot="1" x14ac:dyDescent="0.35">
      <c r="A18" s="39" t="s">
        <v>73</v>
      </c>
      <c r="B18" s="1199"/>
      <c r="C18" s="1200"/>
      <c r="D18" s="1263"/>
      <c r="E18" s="1264"/>
      <c r="F18" s="1265"/>
      <c r="G18" s="1264"/>
      <c r="H18" s="1265"/>
      <c r="I18" s="1266"/>
      <c r="J18" s="1263"/>
      <c r="K18" s="1264"/>
      <c r="L18" s="1263"/>
      <c r="M18" s="1264"/>
      <c r="N18" s="1265"/>
      <c r="O18" s="1266"/>
      <c r="P18" s="1263"/>
      <c r="Q18" s="1264"/>
      <c r="R18" s="1265"/>
      <c r="S18" s="1264"/>
      <c r="T18" s="1263"/>
      <c r="U18" s="1264"/>
      <c r="V18" s="1265"/>
      <c r="W18" s="1264"/>
      <c r="X18" s="1265">
        <v>2151</v>
      </c>
      <c r="Y18" s="1264">
        <v>956</v>
      </c>
      <c r="Z18" s="1265"/>
      <c r="AA18" s="1264"/>
      <c r="AB18" s="1265"/>
      <c r="AC18" s="1264"/>
      <c r="AD18" s="1265"/>
      <c r="AE18" s="1264"/>
      <c r="AF18" s="1265"/>
      <c r="AG18" s="1264"/>
      <c r="AH18" s="1265">
        <v>49</v>
      </c>
      <c r="AI18" s="1264">
        <v>104</v>
      </c>
      <c r="AJ18" s="1270"/>
      <c r="AK18" s="1264"/>
      <c r="AL18" s="1271"/>
      <c r="AM18" s="1272"/>
      <c r="AN18" s="1273"/>
      <c r="AO18" s="1274"/>
      <c r="AP18" s="1278"/>
      <c r="AQ18" s="1279"/>
      <c r="AR18" s="1280"/>
      <c r="AS18" s="1284"/>
      <c r="AT18" s="1291"/>
      <c r="AU18" s="197"/>
      <c r="AV18" s="540">
        <f t="shared" si="0"/>
        <v>2200</v>
      </c>
      <c r="AW18" s="539">
        <f t="shared" si="1"/>
        <v>1060</v>
      </c>
      <c r="AX18" s="1202"/>
      <c r="AY18" s="1203"/>
      <c r="AZ18" s="540">
        <f t="shared" si="2"/>
        <v>2200</v>
      </c>
      <c r="BA18" s="541">
        <f t="shared" si="3"/>
        <v>1060</v>
      </c>
    </row>
    <row r="19" spans="1:53" s="360" customFormat="1" ht="15" thickBot="1" x14ac:dyDescent="0.35">
      <c r="A19" s="969" t="s">
        <v>20</v>
      </c>
      <c r="B19" s="542">
        <f t="shared" ref="B19:AU19" si="4">SUM(B5:B17)</f>
        <v>243389</v>
      </c>
      <c r="C19" s="547">
        <f t="shared" si="4"/>
        <v>225498</v>
      </c>
      <c r="D19" s="542">
        <f t="shared" si="4"/>
        <v>2996</v>
      </c>
      <c r="E19" s="542">
        <f t="shared" si="4"/>
        <v>9330</v>
      </c>
      <c r="F19" s="542">
        <f t="shared" si="4"/>
        <v>28234</v>
      </c>
      <c r="G19" s="542">
        <f t="shared" si="4"/>
        <v>24805</v>
      </c>
      <c r="H19" s="542">
        <f t="shared" si="4"/>
        <v>613205</v>
      </c>
      <c r="I19" s="542">
        <f t="shared" si="4"/>
        <v>474974</v>
      </c>
      <c r="J19" s="542">
        <f t="shared" si="4"/>
        <v>105207</v>
      </c>
      <c r="K19" s="542">
        <f t="shared" si="4"/>
        <v>121883</v>
      </c>
      <c r="L19" s="542">
        <f t="shared" si="4"/>
        <v>186679</v>
      </c>
      <c r="M19" s="542">
        <f t="shared" si="4"/>
        <v>178126</v>
      </c>
      <c r="N19" s="542">
        <f t="shared" si="4"/>
        <v>34413</v>
      </c>
      <c r="O19" s="542">
        <f t="shared" si="4"/>
        <v>28847</v>
      </c>
      <c r="P19" s="542">
        <f t="shared" si="4"/>
        <v>56593</v>
      </c>
      <c r="Q19" s="542">
        <f t="shared" si="4"/>
        <v>65538</v>
      </c>
      <c r="R19" s="542">
        <f t="shared" si="4"/>
        <v>0</v>
      </c>
      <c r="S19" s="542">
        <f t="shared" si="4"/>
        <v>125490</v>
      </c>
      <c r="T19" s="542">
        <f t="shared" si="4"/>
        <v>42427</v>
      </c>
      <c r="U19" s="542">
        <f t="shared" si="4"/>
        <v>39065</v>
      </c>
      <c r="V19" s="542">
        <f t="shared" si="4"/>
        <v>995188</v>
      </c>
      <c r="W19" s="542">
        <f t="shared" si="4"/>
        <v>915102</v>
      </c>
      <c r="X19" s="542">
        <f>SUM(X5:X18)</f>
        <v>601683</v>
      </c>
      <c r="Y19" s="542">
        <f>SUM(Y5:Y18)</f>
        <v>652285</v>
      </c>
      <c r="Z19" s="542">
        <f t="shared" si="4"/>
        <v>47007</v>
      </c>
      <c r="AA19" s="542">
        <f t="shared" si="4"/>
        <v>44350</v>
      </c>
      <c r="AB19" s="542">
        <f t="shared" si="4"/>
        <v>313114</v>
      </c>
      <c r="AC19" s="542">
        <f t="shared" si="4"/>
        <v>265471</v>
      </c>
      <c r="AD19" s="542">
        <f t="shared" si="4"/>
        <v>345685</v>
      </c>
      <c r="AE19" s="542">
        <f t="shared" si="4"/>
        <v>339240</v>
      </c>
      <c r="AF19" s="542">
        <f t="shared" si="4"/>
        <v>597144</v>
      </c>
      <c r="AG19" s="542">
        <f t="shared" si="4"/>
        <v>613999</v>
      </c>
      <c r="AH19" s="542">
        <f>SUM(AH5:AH18)</f>
        <v>287742</v>
      </c>
      <c r="AI19" s="542">
        <f>SUM(AI5:AI18)</f>
        <v>257315</v>
      </c>
      <c r="AJ19" s="542">
        <f t="shared" si="4"/>
        <v>148360</v>
      </c>
      <c r="AK19" s="543">
        <f t="shared" si="4"/>
        <v>155763</v>
      </c>
      <c r="AL19" s="542">
        <f t="shared" si="4"/>
        <v>0</v>
      </c>
      <c r="AM19" s="545">
        <f t="shared" si="4"/>
        <v>0</v>
      </c>
      <c r="AN19" s="544">
        <f t="shared" si="4"/>
        <v>2197129</v>
      </c>
      <c r="AO19" s="545">
        <f t="shared" si="4"/>
        <v>1922920</v>
      </c>
      <c r="AP19" s="542">
        <f t="shared" si="4"/>
        <v>288222</v>
      </c>
      <c r="AQ19" s="542">
        <f t="shared" si="4"/>
        <v>271533</v>
      </c>
      <c r="AR19" s="542">
        <f t="shared" si="4"/>
        <v>194912</v>
      </c>
      <c r="AS19" s="542">
        <f t="shared" si="4"/>
        <v>128804</v>
      </c>
      <c r="AT19" s="1287">
        <f t="shared" si="4"/>
        <v>652538</v>
      </c>
      <c r="AU19" s="1288">
        <f t="shared" si="4"/>
        <v>531521</v>
      </c>
      <c r="AV19" s="548">
        <f t="shared" si="0"/>
        <v>7981867</v>
      </c>
      <c r="AW19" s="549">
        <f t="shared" si="1"/>
        <v>7391859</v>
      </c>
      <c r="AX19" s="550">
        <f>SUM(AX5:AX17)</f>
        <v>20428937</v>
      </c>
      <c r="AY19" s="551">
        <f>SUM(AY5:AY17)</f>
        <v>21718695</v>
      </c>
      <c r="AZ19" s="552">
        <f t="shared" si="2"/>
        <v>28410804</v>
      </c>
      <c r="BA19" s="553">
        <f t="shared" si="3"/>
        <v>29110554</v>
      </c>
    </row>
    <row r="20" spans="1:53" s="627" customFormat="1" ht="15" thickBot="1" x14ac:dyDescent="0.35">
      <c r="A20" s="611" t="s">
        <v>11</v>
      </c>
      <c r="B20" s="973"/>
      <c r="C20" s="612"/>
      <c r="D20" s="613"/>
      <c r="E20" s="614"/>
      <c r="F20" s="613"/>
      <c r="G20" s="614"/>
      <c r="H20" s="613"/>
      <c r="I20" s="614"/>
      <c r="J20" s="613"/>
      <c r="K20" s="614"/>
      <c r="L20" s="613"/>
      <c r="M20" s="614"/>
      <c r="N20" s="613"/>
      <c r="O20" s="614"/>
      <c r="P20" s="616"/>
      <c r="Q20" s="617"/>
      <c r="R20" s="616"/>
      <c r="S20" s="617">
        <v>2307</v>
      </c>
      <c r="T20" s="616"/>
      <c r="U20" s="617"/>
      <c r="V20" s="616">
        <v>704</v>
      </c>
      <c r="W20" s="617"/>
      <c r="X20" s="616"/>
      <c r="Y20" s="617"/>
      <c r="Z20" s="616"/>
      <c r="AA20" s="617"/>
      <c r="AB20" s="613"/>
      <c r="AC20" s="614"/>
      <c r="AD20" s="613">
        <v>378</v>
      </c>
      <c r="AE20" s="614">
        <v>144</v>
      </c>
      <c r="AF20" s="613"/>
      <c r="AG20" s="614"/>
      <c r="AH20" s="613"/>
      <c r="AI20" s="614"/>
      <c r="AJ20" s="613">
        <v>390</v>
      </c>
      <c r="AK20" s="618"/>
      <c r="AL20" s="712"/>
      <c r="AM20" s="619"/>
      <c r="AN20" s="620"/>
      <c r="AO20" s="621"/>
      <c r="AP20" s="622"/>
      <c r="AQ20" s="623"/>
      <c r="AR20" s="624"/>
      <c r="AS20" s="625"/>
      <c r="AT20" s="613"/>
      <c r="AU20" s="614"/>
      <c r="AV20" s="616">
        <f t="shared" si="0"/>
        <v>1472</v>
      </c>
      <c r="AW20" s="617">
        <f t="shared" si="1"/>
        <v>2451</v>
      </c>
      <c r="AX20" s="624"/>
      <c r="AY20" s="625"/>
      <c r="AZ20" s="615">
        <f t="shared" si="2"/>
        <v>1472</v>
      </c>
      <c r="BA20" s="626">
        <f t="shared" si="3"/>
        <v>2451</v>
      </c>
    </row>
    <row r="21" spans="1:53" s="360" customFormat="1" ht="15" thickBot="1" x14ac:dyDescent="0.35">
      <c r="A21" s="969" t="s">
        <v>12</v>
      </c>
      <c r="B21" s="542">
        <f t="shared" ref="B21:AG21" si="5">B19+B20</f>
        <v>243389</v>
      </c>
      <c r="C21" s="547">
        <f t="shared" si="5"/>
        <v>225498</v>
      </c>
      <c r="D21" s="542">
        <f t="shared" si="5"/>
        <v>2996</v>
      </c>
      <c r="E21" s="542">
        <f t="shared" si="5"/>
        <v>9330</v>
      </c>
      <c r="F21" s="542">
        <f t="shared" si="5"/>
        <v>28234</v>
      </c>
      <c r="G21" s="542">
        <f t="shared" si="5"/>
        <v>24805</v>
      </c>
      <c r="H21" s="542">
        <f t="shared" si="5"/>
        <v>613205</v>
      </c>
      <c r="I21" s="542">
        <f t="shared" si="5"/>
        <v>474974</v>
      </c>
      <c r="J21" s="542">
        <f t="shared" si="5"/>
        <v>105207</v>
      </c>
      <c r="K21" s="542">
        <f t="shared" si="5"/>
        <v>121883</v>
      </c>
      <c r="L21" s="542">
        <f t="shared" si="5"/>
        <v>186679</v>
      </c>
      <c r="M21" s="542">
        <f t="shared" si="5"/>
        <v>178126</v>
      </c>
      <c r="N21" s="542">
        <f t="shared" si="5"/>
        <v>34413</v>
      </c>
      <c r="O21" s="542">
        <f t="shared" si="5"/>
        <v>28847</v>
      </c>
      <c r="P21" s="542">
        <f t="shared" si="5"/>
        <v>56593</v>
      </c>
      <c r="Q21" s="542">
        <f t="shared" si="5"/>
        <v>65538</v>
      </c>
      <c r="R21" s="542">
        <f t="shared" si="5"/>
        <v>0</v>
      </c>
      <c r="S21" s="542">
        <f t="shared" si="5"/>
        <v>127797</v>
      </c>
      <c r="T21" s="542">
        <f t="shared" si="5"/>
        <v>42427</v>
      </c>
      <c r="U21" s="542">
        <f t="shared" si="5"/>
        <v>39065</v>
      </c>
      <c r="V21" s="542">
        <f t="shared" si="5"/>
        <v>995892</v>
      </c>
      <c r="W21" s="542">
        <f t="shared" si="5"/>
        <v>915102</v>
      </c>
      <c r="X21" s="542">
        <f t="shared" si="5"/>
        <v>601683</v>
      </c>
      <c r="Y21" s="542">
        <f t="shared" si="5"/>
        <v>652285</v>
      </c>
      <c r="Z21" s="542">
        <f t="shared" si="5"/>
        <v>47007</v>
      </c>
      <c r="AA21" s="542">
        <f t="shared" si="5"/>
        <v>44350</v>
      </c>
      <c r="AB21" s="542">
        <f t="shared" si="5"/>
        <v>313114</v>
      </c>
      <c r="AC21" s="542">
        <f t="shared" si="5"/>
        <v>265471</v>
      </c>
      <c r="AD21" s="542">
        <f t="shared" si="5"/>
        <v>346063</v>
      </c>
      <c r="AE21" s="542">
        <f t="shared" si="5"/>
        <v>339384</v>
      </c>
      <c r="AF21" s="542">
        <f t="shared" si="5"/>
        <v>597144</v>
      </c>
      <c r="AG21" s="542">
        <f t="shared" si="5"/>
        <v>613999</v>
      </c>
      <c r="AH21" s="542">
        <f t="shared" ref="AH21:AU21" si="6">AH19+AH20</f>
        <v>287742</v>
      </c>
      <c r="AI21" s="542">
        <f t="shared" si="6"/>
        <v>257315</v>
      </c>
      <c r="AJ21" s="542">
        <f t="shared" si="6"/>
        <v>148750</v>
      </c>
      <c r="AK21" s="543">
        <f t="shared" si="6"/>
        <v>155763</v>
      </c>
      <c r="AL21" s="542">
        <f t="shared" si="6"/>
        <v>0</v>
      </c>
      <c r="AM21" s="545">
        <f t="shared" si="6"/>
        <v>0</v>
      </c>
      <c r="AN21" s="544">
        <f t="shared" si="6"/>
        <v>2197129</v>
      </c>
      <c r="AO21" s="545">
        <f t="shared" si="6"/>
        <v>1922920</v>
      </c>
      <c r="AP21" s="542">
        <f t="shared" si="6"/>
        <v>288222</v>
      </c>
      <c r="AQ21" s="542">
        <f t="shared" si="6"/>
        <v>271533</v>
      </c>
      <c r="AR21" s="542">
        <f t="shared" si="6"/>
        <v>194912</v>
      </c>
      <c r="AS21" s="542">
        <f t="shared" si="6"/>
        <v>128804</v>
      </c>
      <c r="AT21" s="542">
        <f t="shared" si="6"/>
        <v>652538</v>
      </c>
      <c r="AU21" s="547">
        <f t="shared" si="6"/>
        <v>531521</v>
      </c>
      <c r="AV21" s="548">
        <f t="shared" si="0"/>
        <v>7983339</v>
      </c>
      <c r="AW21" s="549">
        <f t="shared" si="1"/>
        <v>7394310</v>
      </c>
      <c r="AX21" s="552">
        <f>AX19+AX20</f>
        <v>20428937</v>
      </c>
      <c r="AY21" s="553">
        <f>AY19+AY20</f>
        <v>21718695</v>
      </c>
      <c r="AZ21" s="552">
        <f t="shared" si="2"/>
        <v>28412276</v>
      </c>
      <c r="BA21" s="553">
        <f t="shared" si="3"/>
        <v>29113005</v>
      </c>
    </row>
  </sheetData>
  <mergeCells count="29">
    <mergeCell ref="A1:AY1"/>
    <mergeCell ref="A2:AY2"/>
    <mergeCell ref="A3:A4"/>
    <mergeCell ref="L3:M3"/>
    <mergeCell ref="T3:U3"/>
    <mergeCell ref="J3:K3"/>
    <mergeCell ref="P3:Q3"/>
    <mergeCell ref="AT3:AU3"/>
    <mergeCell ref="R3:S3"/>
    <mergeCell ref="AB3:AC3"/>
    <mergeCell ref="AH3:AI3"/>
    <mergeCell ref="B3:C3"/>
    <mergeCell ref="D3:E3"/>
    <mergeCell ref="F3:G3"/>
    <mergeCell ref="H3:I3"/>
    <mergeCell ref="AF3:AG3"/>
    <mergeCell ref="AZ3:BA3"/>
    <mergeCell ref="AJ3:AK3"/>
    <mergeCell ref="AL3:AM3"/>
    <mergeCell ref="AN3:AO3"/>
    <mergeCell ref="AP3:AQ3"/>
    <mergeCell ref="AR3:AS3"/>
    <mergeCell ref="AV3:AW3"/>
    <mergeCell ref="AX3:AY3"/>
    <mergeCell ref="AD3:AE3"/>
    <mergeCell ref="V3:W3"/>
    <mergeCell ref="N3:O3"/>
    <mergeCell ref="X3:Y3"/>
    <mergeCell ref="Z3:A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A44"/>
  <sheetViews>
    <sheetView workbookViewId="0">
      <pane xSplit="1" topLeftCell="AP1" activePane="topRight" state="frozen"/>
      <selection pane="topRight" activeCell="B3" sqref="B3:C3"/>
    </sheetView>
  </sheetViews>
  <sheetFormatPr defaultRowHeight="14.25" x14ac:dyDescent="0.3"/>
  <cols>
    <col min="1" max="1" width="30.42578125" style="33" customWidth="1"/>
    <col min="2" max="39" width="12.85546875" style="33" bestFit="1" customWidth="1"/>
    <col min="40" max="41" width="12.85546875" style="193" bestFit="1" customWidth="1"/>
    <col min="42" max="53" width="12.85546875" style="33" bestFit="1" customWidth="1"/>
    <col min="54" max="16384" width="9.140625" style="33"/>
  </cols>
  <sheetData>
    <row r="1" spans="1:53" x14ac:dyDescent="0.3">
      <c r="A1" s="1372" t="s">
        <v>152</v>
      </c>
      <c r="B1" s="1372"/>
      <c r="C1" s="1372"/>
      <c r="D1" s="1372"/>
      <c r="E1" s="1372"/>
      <c r="F1" s="1372"/>
      <c r="G1" s="1372"/>
      <c r="H1" s="1372"/>
      <c r="I1" s="1372"/>
      <c r="J1" s="1372"/>
      <c r="K1" s="1372"/>
      <c r="L1" s="1372"/>
      <c r="M1" s="1372"/>
      <c r="N1" s="1372"/>
      <c r="O1" s="1372"/>
      <c r="P1" s="1372"/>
      <c r="Q1" s="1372"/>
      <c r="R1" s="1372"/>
      <c r="S1" s="1372"/>
      <c r="T1" s="1372"/>
      <c r="U1" s="1372"/>
      <c r="V1" s="1372"/>
      <c r="W1" s="1372"/>
      <c r="X1" s="1372"/>
      <c r="Y1" s="1372"/>
      <c r="Z1" s="1372"/>
      <c r="AA1" s="1372"/>
      <c r="AB1" s="1372"/>
      <c r="AC1" s="1372"/>
      <c r="AD1" s="1372"/>
      <c r="AE1" s="1372"/>
      <c r="AF1" s="1372"/>
      <c r="AG1" s="1372"/>
      <c r="AH1" s="1372"/>
      <c r="AI1" s="1372"/>
      <c r="AJ1" s="1372"/>
      <c r="AK1" s="1372"/>
      <c r="AL1" s="1372"/>
      <c r="AM1" s="1372"/>
      <c r="AN1" s="1372"/>
      <c r="AO1" s="1372"/>
      <c r="AP1" s="1372"/>
      <c r="AQ1" s="1372"/>
      <c r="AR1" s="1372"/>
      <c r="AS1" s="1372"/>
      <c r="AT1" s="1372"/>
      <c r="AU1" s="1372"/>
      <c r="AV1" s="1372"/>
      <c r="AW1" s="1372"/>
      <c r="AX1" s="1372"/>
      <c r="AY1" s="1372"/>
    </row>
    <row r="2" spans="1:53" ht="16.5" thickBot="1" x14ac:dyDescent="0.4">
      <c r="A2" s="1373" t="s">
        <v>435</v>
      </c>
      <c r="B2" s="1373"/>
      <c r="C2" s="1373"/>
      <c r="D2" s="1373"/>
      <c r="E2" s="1373"/>
      <c r="F2" s="1373"/>
      <c r="G2" s="1373"/>
      <c r="H2" s="1373"/>
      <c r="I2" s="1373"/>
      <c r="J2" s="1373"/>
      <c r="K2" s="1373"/>
      <c r="L2" s="1373"/>
      <c r="M2" s="1373"/>
      <c r="N2" s="1373"/>
      <c r="O2" s="1373"/>
      <c r="P2" s="1373"/>
      <c r="Q2" s="1373"/>
      <c r="R2" s="1373"/>
      <c r="S2" s="1373"/>
      <c r="T2" s="1373"/>
      <c r="U2" s="1373"/>
      <c r="V2" s="1373"/>
      <c r="W2" s="1373"/>
      <c r="X2" s="1373"/>
      <c r="Y2" s="1373"/>
      <c r="Z2" s="1373"/>
      <c r="AA2" s="1373"/>
      <c r="AB2" s="1373"/>
      <c r="AC2" s="1373"/>
      <c r="AD2" s="1373"/>
      <c r="AE2" s="1373"/>
      <c r="AF2" s="1373"/>
      <c r="AG2" s="1373"/>
      <c r="AH2" s="1373"/>
      <c r="AI2" s="1373"/>
      <c r="AJ2" s="1373"/>
      <c r="AK2" s="1373"/>
      <c r="AL2" s="1373"/>
      <c r="AM2" s="1373"/>
      <c r="AN2" s="1373"/>
      <c r="AO2" s="1373"/>
      <c r="AP2" s="1373"/>
      <c r="AQ2" s="1373"/>
      <c r="AR2" s="1373"/>
      <c r="AS2" s="1373"/>
      <c r="AT2" s="1373"/>
      <c r="AU2" s="1373"/>
      <c r="AV2" s="1373"/>
      <c r="AW2" s="1373"/>
      <c r="AX2" s="1373"/>
      <c r="AY2" s="1373"/>
    </row>
    <row r="3" spans="1:53" s="669" customFormat="1" ht="38.25" customHeight="1" thickBot="1" x14ac:dyDescent="0.3">
      <c r="A3" s="1374" t="s">
        <v>0</v>
      </c>
      <c r="B3" s="1376" t="s">
        <v>158</v>
      </c>
      <c r="C3" s="1377"/>
      <c r="D3" s="1376" t="s">
        <v>159</v>
      </c>
      <c r="E3" s="1377"/>
      <c r="F3" s="1370" t="s">
        <v>160</v>
      </c>
      <c r="G3" s="1371"/>
      <c r="H3" s="1370" t="s">
        <v>161</v>
      </c>
      <c r="I3" s="1371"/>
      <c r="J3" s="1370" t="s">
        <v>162</v>
      </c>
      <c r="K3" s="1371"/>
      <c r="L3" s="1370" t="s">
        <v>163</v>
      </c>
      <c r="M3" s="1371"/>
      <c r="N3" s="1370" t="s">
        <v>312</v>
      </c>
      <c r="O3" s="1371"/>
      <c r="P3" s="1370" t="s">
        <v>164</v>
      </c>
      <c r="Q3" s="1371"/>
      <c r="R3" s="1370" t="s">
        <v>165</v>
      </c>
      <c r="S3" s="1371"/>
      <c r="T3" s="1370" t="s">
        <v>166</v>
      </c>
      <c r="U3" s="1371"/>
      <c r="V3" s="1370" t="s">
        <v>167</v>
      </c>
      <c r="W3" s="1371"/>
      <c r="X3" s="1370" t="s">
        <v>168</v>
      </c>
      <c r="Y3" s="1371"/>
      <c r="Z3" s="1370" t="s">
        <v>383</v>
      </c>
      <c r="AA3" s="1371"/>
      <c r="AB3" s="1370" t="s">
        <v>169</v>
      </c>
      <c r="AC3" s="1371"/>
      <c r="AD3" s="1368" t="s">
        <v>170</v>
      </c>
      <c r="AE3" s="1369"/>
      <c r="AF3" s="1370" t="s">
        <v>171</v>
      </c>
      <c r="AG3" s="1371"/>
      <c r="AH3" s="1370" t="s">
        <v>172</v>
      </c>
      <c r="AI3" s="1371"/>
      <c r="AJ3" s="1370" t="s">
        <v>173</v>
      </c>
      <c r="AK3" s="1371"/>
      <c r="AL3" s="1368" t="s">
        <v>174</v>
      </c>
      <c r="AM3" s="1369"/>
      <c r="AN3" s="1368" t="s">
        <v>175</v>
      </c>
      <c r="AO3" s="1369"/>
      <c r="AP3" s="1370" t="s">
        <v>176</v>
      </c>
      <c r="AQ3" s="1371"/>
      <c r="AR3" s="1370" t="s">
        <v>177</v>
      </c>
      <c r="AS3" s="1371"/>
      <c r="AT3" s="1370" t="s">
        <v>178</v>
      </c>
      <c r="AU3" s="1371"/>
      <c r="AV3" s="1370" t="s">
        <v>1</v>
      </c>
      <c r="AW3" s="1371"/>
      <c r="AX3" s="1368" t="s">
        <v>179</v>
      </c>
      <c r="AY3" s="1369"/>
      <c r="AZ3" s="1368" t="s">
        <v>2</v>
      </c>
      <c r="BA3" s="1369"/>
    </row>
    <row r="4" spans="1:53" s="411" customFormat="1" ht="15" customHeight="1" thickBot="1" x14ac:dyDescent="0.35">
      <c r="A4" s="1375"/>
      <c r="B4" s="422" t="s">
        <v>437</v>
      </c>
      <c r="C4" s="423" t="s">
        <v>420</v>
      </c>
      <c r="D4" s="422" t="s">
        <v>437</v>
      </c>
      <c r="E4" s="423" t="s">
        <v>420</v>
      </c>
      <c r="F4" s="422" t="s">
        <v>437</v>
      </c>
      <c r="G4" s="423" t="s">
        <v>420</v>
      </c>
      <c r="H4" s="422" t="s">
        <v>437</v>
      </c>
      <c r="I4" s="423" t="s">
        <v>420</v>
      </c>
      <c r="J4" s="422" t="s">
        <v>437</v>
      </c>
      <c r="K4" s="423" t="s">
        <v>420</v>
      </c>
      <c r="L4" s="422" t="s">
        <v>437</v>
      </c>
      <c r="M4" s="423" t="s">
        <v>420</v>
      </c>
      <c r="N4" s="422" t="s">
        <v>437</v>
      </c>
      <c r="O4" s="423" t="s">
        <v>420</v>
      </c>
      <c r="P4" s="422" t="s">
        <v>437</v>
      </c>
      <c r="Q4" s="423" t="s">
        <v>420</v>
      </c>
      <c r="R4" s="422" t="s">
        <v>437</v>
      </c>
      <c r="S4" s="423" t="s">
        <v>420</v>
      </c>
      <c r="T4" s="422" t="s">
        <v>437</v>
      </c>
      <c r="U4" s="423" t="s">
        <v>420</v>
      </c>
      <c r="V4" s="422" t="s">
        <v>437</v>
      </c>
      <c r="W4" s="423" t="s">
        <v>420</v>
      </c>
      <c r="X4" s="422" t="s">
        <v>437</v>
      </c>
      <c r="Y4" s="423" t="s">
        <v>420</v>
      </c>
      <c r="Z4" s="422" t="s">
        <v>437</v>
      </c>
      <c r="AA4" s="423" t="s">
        <v>420</v>
      </c>
      <c r="AB4" s="422" t="s">
        <v>437</v>
      </c>
      <c r="AC4" s="423" t="s">
        <v>420</v>
      </c>
      <c r="AD4" s="422" t="s">
        <v>437</v>
      </c>
      <c r="AE4" s="423" t="s">
        <v>420</v>
      </c>
      <c r="AF4" s="422" t="s">
        <v>437</v>
      </c>
      <c r="AG4" s="423" t="s">
        <v>420</v>
      </c>
      <c r="AH4" s="422" t="s">
        <v>437</v>
      </c>
      <c r="AI4" s="423" t="s">
        <v>420</v>
      </c>
      <c r="AJ4" s="422" t="s">
        <v>437</v>
      </c>
      <c r="AK4" s="423" t="s">
        <v>420</v>
      </c>
      <c r="AL4" s="422" t="s">
        <v>437</v>
      </c>
      <c r="AM4" s="423" t="s">
        <v>420</v>
      </c>
      <c r="AN4" s="422" t="s">
        <v>437</v>
      </c>
      <c r="AO4" s="423" t="s">
        <v>420</v>
      </c>
      <c r="AP4" s="422" t="s">
        <v>437</v>
      </c>
      <c r="AQ4" s="423" t="s">
        <v>420</v>
      </c>
      <c r="AR4" s="422" t="s">
        <v>437</v>
      </c>
      <c r="AS4" s="423" t="s">
        <v>420</v>
      </c>
      <c r="AT4" s="422" t="s">
        <v>437</v>
      </c>
      <c r="AU4" s="423" t="s">
        <v>420</v>
      </c>
      <c r="AV4" s="422" t="s">
        <v>437</v>
      </c>
      <c r="AW4" s="423" t="s">
        <v>420</v>
      </c>
      <c r="AX4" s="422" t="s">
        <v>437</v>
      </c>
      <c r="AY4" s="423" t="s">
        <v>420</v>
      </c>
      <c r="AZ4" s="422" t="s">
        <v>437</v>
      </c>
      <c r="BA4" s="423" t="s">
        <v>420</v>
      </c>
    </row>
    <row r="5" spans="1:53" ht="28.5" x14ac:dyDescent="0.3">
      <c r="A5" s="1039" t="s">
        <v>119</v>
      </c>
      <c r="B5" s="420">
        <v>29290</v>
      </c>
      <c r="C5" s="417">
        <v>7555</v>
      </c>
      <c r="D5" s="415">
        <v>323</v>
      </c>
      <c r="E5" s="417">
        <v>302</v>
      </c>
      <c r="F5" s="416">
        <v>1598</v>
      </c>
      <c r="G5" s="417">
        <v>2355</v>
      </c>
      <c r="H5" s="416">
        <v>108967</v>
      </c>
      <c r="I5" s="417">
        <v>77532</v>
      </c>
      <c r="J5" s="416">
        <v>7531</v>
      </c>
      <c r="K5" s="417">
        <v>1469</v>
      </c>
      <c r="L5" s="416">
        <f>14625+305+42+1041+761+185</f>
        <v>16959</v>
      </c>
      <c r="M5" s="417">
        <f>16103+441+136+53+866+170</f>
        <v>17769</v>
      </c>
      <c r="N5" s="416">
        <v>5025</v>
      </c>
      <c r="O5" s="417">
        <v>7262</v>
      </c>
      <c r="P5" s="416">
        <v>2012</v>
      </c>
      <c r="Q5" s="417">
        <v>658</v>
      </c>
      <c r="R5" s="416"/>
      <c r="S5" s="417">
        <v>12598</v>
      </c>
      <c r="T5" s="416">
        <v>838</v>
      </c>
      <c r="U5" s="417">
        <v>1034</v>
      </c>
      <c r="V5" s="416">
        <v>148083</v>
      </c>
      <c r="W5" s="417">
        <v>100934</v>
      </c>
      <c r="X5" s="415">
        <v>201618</v>
      </c>
      <c r="Y5" s="417">
        <v>216022</v>
      </c>
      <c r="Z5" s="416">
        <v>8111</v>
      </c>
      <c r="AA5" s="417">
        <v>5881</v>
      </c>
      <c r="AB5" s="416">
        <v>31663</v>
      </c>
      <c r="AC5" s="417">
        <v>16084</v>
      </c>
      <c r="AD5" s="416">
        <v>87509</v>
      </c>
      <c r="AE5" s="417">
        <v>25188</v>
      </c>
      <c r="AF5" s="416">
        <v>45626</v>
      </c>
      <c r="AG5" s="417">
        <v>27802</v>
      </c>
      <c r="AH5" s="416">
        <v>10700</v>
      </c>
      <c r="AI5" s="417">
        <v>5323</v>
      </c>
      <c r="AJ5" s="416">
        <v>15505</v>
      </c>
      <c r="AK5" s="417">
        <v>18236</v>
      </c>
      <c r="AL5" s="416"/>
      <c r="AM5" s="417"/>
      <c r="AN5" s="418">
        <v>270715</v>
      </c>
      <c r="AO5" s="419">
        <v>173243</v>
      </c>
      <c r="AP5" s="416">
        <v>11508</v>
      </c>
      <c r="AQ5" s="417">
        <v>2257</v>
      </c>
      <c r="AR5" s="416">
        <v>12209</v>
      </c>
      <c r="AS5" s="417">
        <v>25948</v>
      </c>
      <c r="AT5" s="416">
        <v>160476</v>
      </c>
      <c r="AU5" s="417">
        <v>55993</v>
      </c>
      <c r="AV5" s="420">
        <f t="shared" ref="AV5:AV24" si="0">SUM(B5+D5+F5+H5+J5+L5+N5+P5+R5+T5+V5+X5+Z5+AB5+AD5+AF5+AH5+AJ5+AL5+AN5+AP5+AR5+AT5)</f>
        <v>1176266</v>
      </c>
      <c r="AW5" s="421">
        <f t="shared" ref="AW5:AW24" si="1">SUM(C5+E5+G5+I5+K5+M5+O5+Q5+S5+U5+W5+Y5+AA5+AC5+AE5+AG5+AI5+AK5+AM5+AO5+AQ5+AS5+AU5)</f>
        <v>801445</v>
      </c>
      <c r="AX5" s="416">
        <v>3604887</v>
      </c>
      <c r="AY5" s="417">
        <v>1219345</v>
      </c>
      <c r="AZ5" s="420">
        <f t="shared" ref="AZ5:AZ24" si="2">AV5+AX5</f>
        <v>4781153</v>
      </c>
      <c r="BA5" s="421">
        <f t="shared" ref="BA5:BA24" si="3">AW5+AY5</f>
        <v>2020790</v>
      </c>
    </row>
    <row r="6" spans="1:53" x14ac:dyDescent="0.3">
      <c r="A6" s="1040" t="s">
        <v>120</v>
      </c>
      <c r="B6" s="971"/>
      <c r="C6" s="52"/>
      <c r="D6" s="18"/>
      <c r="E6" s="19"/>
      <c r="F6" s="16"/>
      <c r="G6" s="19"/>
      <c r="H6" s="16"/>
      <c r="I6" s="19"/>
      <c r="J6" s="16"/>
      <c r="K6" s="19"/>
      <c r="L6" s="16"/>
      <c r="M6" s="19"/>
      <c r="N6" s="16"/>
      <c r="O6" s="19"/>
      <c r="P6" s="16"/>
      <c r="Q6" s="19"/>
      <c r="R6" s="16"/>
      <c r="S6" s="19"/>
      <c r="T6" s="16"/>
      <c r="U6" s="19"/>
      <c r="V6" s="16"/>
      <c r="W6" s="19"/>
      <c r="X6" s="18"/>
      <c r="Y6" s="19"/>
      <c r="Z6" s="20"/>
      <c r="AA6" s="21"/>
      <c r="AB6" s="16"/>
      <c r="AC6" s="19"/>
      <c r="AD6" s="16"/>
      <c r="AE6" s="19"/>
      <c r="AF6" s="16"/>
      <c r="AG6" s="19"/>
      <c r="AH6" s="16"/>
      <c r="AI6" s="19"/>
      <c r="AJ6" s="16"/>
      <c r="AK6" s="19"/>
      <c r="AL6" s="16"/>
      <c r="AM6" s="19"/>
      <c r="AN6" s="239"/>
      <c r="AO6" s="243"/>
      <c r="AP6" s="22"/>
      <c r="AQ6" s="23"/>
      <c r="AR6" s="24"/>
      <c r="AS6" s="25"/>
      <c r="AT6" s="16"/>
      <c r="AU6" s="19"/>
      <c r="AV6" s="11">
        <f t="shared" si="0"/>
        <v>0</v>
      </c>
      <c r="AW6" s="267">
        <f t="shared" si="1"/>
        <v>0</v>
      </c>
      <c r="AX6" s="24"/>
      <c r="AY6" s="25"/>
      <c r="AZ6" s="11">
        <f t="shared" si="2"/>
        <v>0</v>
      </c>
      <c r="BA6" s="267">
        <f t="shared" si="3"/>
        <v>0</v>
      </c>
    </row>
    <row r="7" spans="1:53" ht="28.5" x14ac:dyDescent="0.3">
      <c r="A7" s="1040" t="s">
        <v>121</v>
      </c>
      <c r="B7" s="971">
        <v>21711</v>
      </c>
      <c r="C7" s="52">
        <v>19285</v>
      </c>
      <c r="D7" s="18">
        <v>158</v>
      </c>
      <c r="E7" s="19">
        <v>122</v>
      </c>
      <c r="F7" s="16">
        <v>3552</v>
      </c>
      <c r="G7" s="19">
        <v>4027</v>
      </c>
      <c r="H7" s="16">
        <v>57100</v>
      </c>
      <c r="I7" s="19">
        <v>54911</v>
      </c>
      <c r="J7" s="16">
        <v>3556</v>
      </c>
      <c r="K7" s="19">
        <v>3787</v>
      </c>
      <c r="L7" s="16">
        <v>8538</v>
      </c>
      <c r="M7" s="19">
        <v>7689</v>
      </c>
      <c r="N7" s="16">
        <v>1162</v>
      </c>
      <c r="O7" s="19">
        <v>4677</v>
      </c>
      <c r="P7" s="16">
        <v>4934</v>
      </c>
      <c r="Q7" s="19">
        <v>2066</v>
      </c>
      <c r="R7" s="16"/>
      <c r="S7" s="19">
        <v>8136</v>
      </c>
      <c r="T7" s="16">
        <v>1486</v>
      </c>
      <c r="U7" s="19">
        <v>825</v>
      </c>
      <c r="V7" s="16">
        <v>63259</v>
      </c>
      <c r="W7" s="19">
        <v>47876</v>
      </c>
      <c r="X7" s="18">
        <v>61061</v>
      </c>
      <c r="Y7" s="19">
        <v>50678</v>
      </c>
      <c r="Z7" s="20">
        <v>5005</v>
      </c>
      <c r="AA7" s="21">
        <v>4839</v>
      </c>
      <c r="AB7" s="16">
        <v>4382</v>
      </c>
      <c r="AC7" s="19">
        <v>4474</v>
      </c>
      <c r="AD7" s="16">
        <v>29809</v>
      </c>
      <c r="AE7" s="19">
        <v>27163</v>
      </c>
      <c r="AF7" s="16">
        <v>30756</v>
      </c>
      <c r="AG7" s="19">
        <v>22539</v>
      </c>
      <c r="AH7" s="16">
        <v>12720</v>
      </c>
      <c r="AI7" s="19">
        <v>10214</v>
      </c>
      <c r="AJ7" s="16">
        <v>9185</v>
      </c>
      <c r="AK7" s="19">
        <v>8809</v>
      </c>
      <c r="AL7" s="16"/>
      <c r="AM7" s="19"/>
      <c r="AN7" s="240">
        <v>68220</v>
      </c>
      <c r="AO7" s="244">
        <v>61169</v>
      </c>
      <c r="AP7" s="22">
        <v>4244</v>
      </c>
      <c r="AQ7" s="23">
        <v>3993</v>
      </c>
      <c r="AR7" s="24">
        <v>5918</v>
      </c>
      <c r="AS7" s="25">
        <v>4390</v>
      </c>
      <c r="AT7" s="16">
        <v>14456</v>
      </c>
      <c r="AU7" s="19">
        <v>14012</v>
      </c>
      <c r="AV7" s="11">
        <f t="shared" si="0"/>
        <v>411212</v>
      </c>
      <c r="AW7" s="267">
        <f t="shared" si="1"/>
        <v>365681</v>
      </c>
      <c r="AX7" s="24">
        <v>106866</v>
      </c>
      <c r="AY7" s="25">
        <v>16095</v>
      </c>
      <c r="AZ7" s="11">
        <f t="shared" si="2"/>
        <v>518078</v>
      </c>
      <c r="BA7" s="267">
        <f t="shared" si="3"/>
        <v>381776</v>
      </c>
    </row>
    <row r="8" spans="1:53" ht="28.5" x14ac:dyDescent="0.3">
      <c r="A8" s="1040" t="s">
        <v>122</v>
      </c>
      <c r="B8" s="971">
        <v>524</v>
      </c>
      <c r="C8" s="52">
        <v>883</v>
      </c>
      <c r="D8" s="18"/>
      <c r="E8" s="19">
        <v>69</v>
      </c>
      <c r="F8" s="16">
        <v>71</v>
      </c>
      <c r="G8" s="19">
        <v>340</v>
      </c>
      <c r="H8" s="16">
        <v>28013</v>
      </c>
      <c r="I8" s="19">
        <v>32519</v>
      </c>
      <c r="J8" s="16">
        <v>287</v>
      </c>
      <c r="K8" s="19">
        <v>1695</v>
      </c>
      <c r="L8" s="16">
        <v>60</v>
      </c>
      <c r="M8" s="19">
        <v>1269</v>
      </c>
      <c r="N8" s="16">
        <v>243</v>
      </c>
      <c r="O8" s="19">
        <v>849</v>
      </c>
      <c r="P8" s="16">
        <v>658</v>
      </c>
      <c r="Q8" s="19">
        <v>1349</v>
      </c>
      <c r="R8" s="16"/>
      <c r="S8" s="19">
        <v>666</v>
      </c>
      <c r="T8" s="16">
        <v>15</v>
      </c>
      <c r="U8" s="19">
        <v>514</v>
      </c>
      <c r="V8" s="16">
        <v>8973</v>
      </c>
      <c r="W8" s="19">
        <v>32255</v>
      </c>
      <c r="X8" s="18">
        <v>29730</v>
      </c>
      <c r="Y8" s="19">
        <v>52620</v>
      </c>
      <c r="Z8" s="20">
        <v>183</v>
      </c>
      <c r="AA8" s="21">
        <v>260</v>
      </c>
      <c r="AB8" s="16">
        <v>51</v>
      </c>
      <c r="AC8" s="19">
        <v>392</v>
      </c>
      <c r="AD8" s="16">
        <v>35</v>
      </c>
      <c r="AE8" s="19"/>
      <c r="AF8" s="16">
        <v>1057</v>
      </c>
      <c r="AG8" s="19">
        <v>9498</v>
      </c>
      <c r="AH8" s="16">
        <v>653</v>
      </c>
      <c r="AI8" s="19">
        <v>1823</v>
      </c>
      <c r="AJ8" s="16">
        <v>1658</v>
      </c>
      <c r="AK8" s="19">
        <v>2263</v>
      </c>
      <c r="AL8" s="16"/>
      <c r="AM8" s="19"/>
      <c r="AN8" s="240">
        <v>10689</v>
      </c>
      <c r="AO8" s="244">
        <v>40844</v>
      </c>
      <c r="AP8" s="22">
        <v>823</v>
      </c>
      <c r="AQ8" s="23">
        <v>3631</v>
      </c>
      <c r="AR8" s="24">
        <v>390</v>
      </c>
      <c r="AS8" s="25">
        <v>551</v>
      </c>
      <c r="AT8" s="16">
        <v>33</v>
      </c>
      <c r="AU8" s="19">
        <v>398</v>
      </c>
      <c r="AV8" s="11">
        <f t="shared" si="0"/>
        <v>84146</v>
      </c>
      <c r="AW8" s="267">
        <f t="shared" si="1"/>
        <v>184688</v>
      </c>
      <c r="AX8" s="24">
        <v>8271</v>
      </c>
      <c r="AY8" s="25">
        <v>4166</v>
      </c>
      <c r="AZ8" s="11">
        <f t="shared" si="2"/>
        <v>92417</v>
      </c>
      <c r="BA8" s="267">
        <f t="shared" si="3"/>
        <v>188854</v>
      </c>
    </row>
    <row r="9" spans="1:53" ht="28.5" x14ac:dyDescent="0.3">
      <c r="A9" s="1040" t="s">
        <v>123</v>
      </c>
      <c r="B9" s="971"/>
      <c r="C9" s="52">
        <v>-74</v>
      </c>
      <c r="D9" s="18">
        <v>-23</v>
      </c>
      <c r="E9" s="19"/>
      <c r="F9" s="16">
        <v>-12</v>
      </c>
      <c r="G9" s="19">
        <v>-91</v>
      </c>
      <c r="H9" s="16">
        <v>-5641</v>
      </c>
      <c r="I9" s="19">
        <v>-12755</v>
      </c>
      <c r="J9" s="16">
        <v>-136</v>
      </c>
      <c r="K9" s="19">
        <v>-547</v>
      </c>
      <c r="L9" s="16">
        <v>-19</v>
      </c>
      <c r="M9" s="19"/>
      <c r="N9" s="16">
        <v>-172</v>
      </c>
      <c r="O9" s="19">
        <v>-279</v>
      </c>
      <c r="P9" s="16">
        <v>-218</v>
      </c>
      <c r="Q9" s="19">
        <v>-955</v>
      </c>
      <c r="R9" s="16"/>
      <c r="S9" s="19"/>
      <c r="T9" s="16">
        <v>-20</v>
      </c>
      <c r="U9" s="19">
        <v>-15</v>
      </c>
      <c r="V9" s="16">
        <v>-4202</v>
      </c>
      <c r="W9" s="19">
        <v>-1193</v>
      </c>
      <c r="X9" s="18">
        <v>-1544</v>
      </c>
      <c r="Y9" s="19">
        <v>-496</v>
      </c>
      <c r="Z9" s="20">
        <v>-3</v>
      </c>
      <c r="AA9" s="21">
        <v>-1</v>
      </c>
      <c r="AB9" s="16">
        <v>-0.04</v>
      </c>
      <c r="AC9" s="19">
        <v>-58</v>
      </c>
      <c r="AD9" s="16"/>
      <c r="AE9" s="19">
        <v>-164</v>
      </c>
      <c r="AF9" s="16">
        <v>-533</v>
      </c>
      <c r="AG9" s="19">
        <v>-478</v>
      </c>
      <c r="AH9" s="16"/>
      <c r="AI9" s="19"/>
      <c r="AJ9" s="16">
        <v>-128</v>
      </c>
      <c r="AK9" s="19">
        <v>-425</v>
      </c>
      <c r="AL9" s="16"/>
      <c r="AM9" s="19"/>
      <c r="AN9" s="240">
        <v>-311</v>
      </c>
      <c r="AO9" s="244">
        <v>-1528</v>
      </c>
      <c r="AP9" s="22">
        <v>-256</v>
      </c>
      <c r="AQ9" s="23">
        <v>-307</v>
      </c>
      <c r="AR9" s="24">
        <v>-24</v>
      </c>
      <c r="AS9" s="25">
        <v>-10</v>
      </c>
      <c r="AT9" s="16">
        <v>-99</v>
      </c>
      <c r="AU9" s="19">
        <v>-81</v>
      </c>
      <c r="AV9" s="11">
        <f t="shared" si="0"/>
        <v>-13341.04</v>
      </c>
      <c r="AW9" s="267">
        <f t="shared" si="1"/>
        <v>-19457</v>
      </c>
      <c r="AX9" s="24">
        <v>-355</v>
      </c>
      <c r="AY9" s="25">
        <v>-139</v>
      </c>
      <c r="AZ9" s="11">
        <f t="shared" si="2"/>
        <v>-13696.04</v>
      </c>
      <c r="BA9" s="267">
        <f t="shared" si="3"/>
        <v>-19596</v>
      </c>
    </row>
    <row r="10" spans="1:53" ht="42.75" x14ac:dyDescent="0.3">
      <c r="A10" s="1040" t="s">
        <v>124</v>
      </c>
      <c r="B10" s="11">
        <v>1655</v>
      </c>
      <c r="C10" s="13">
        <v>1123</v>
      </c>
      <c r="D10" s="29">
        <v>553</v>
      </c>
      <c r="E10" s="30">
        <v>113</v>
      </c>
      <c r="F10" s="28"/>
      <c r="G10" s="30"/>
      <c r="H10" s="28">
        <v>1407</v>
      </c>
      <c r="I10" s="30">
        <v>-1145</v>
      </c>
      <c r="J10" s="28">
        <v>177</v>
      </c>
      <c r="K10" s="30">
        <v>-10</v>
      </c>
      <c r="L10" s="28">
        <v>613</v>
      </c>
      <c r="M10" s="30">
        <v>324</v>
      </c>
      <c r="N10" s="28">
        <v>-72</v>
      </c>
      <c r="O10" s="30">
        <v>-311</v>
      </c>
      <c r="P10" s="28"/>
      <c r="Q10" s="30"/>
      <c r="R10" s="28"/>
      <c r="S10" s="30">
        <v>-517</v>
      </c>
      <c r="T10" s="28">
        <v>201</v>
      </c>
      <c r="U10" s="30"/>
      <c r="V10" s="28"/>
      <c r="W10" s="30"/>
      <c r="X10" s="29">
        <v>-1250</v>
      </c>
      <c r="Y10" s="30">
        <v>-1368</v>
      </c>
      <c r="Z10" s="20">
        <v>503</v>
      </c>
      <c r="AA10" s="21">
        <v>236</v>
      </c>
      <c r="AB10" s="28">
        <v>596</v>
      </c>
      <c r="AC10" s="30">
        <v>25</v>
      </c>
      <c r="AD10" s="31">
        <v>2021</v>
      </c>
      <c r="AE10" s="32">
        <v>-318</v>
      </c>
      <c r="AF10" s="28">
        <v>152</v>
      </c>
      <c r="AG10" s="30">
        <v>558</v>
      </c>
      <c r="AH10" s="28">
        <v>154</v>
      </c>
      <c r="AI10" s="30">
        <v>116</v>
      </c>
      <c r="AJ10" s="28">
        <v>-36</v>
      </c>
      <c r="AK10" s="30">
        <v>-386</v>
      </c>
      <c r="AL10" s="16"/>
      <c r="AM10" s="19"/>
      <c r="AN10" s="240">
        <v>852</v>
      </c>
      <c r="AO10" s="244">
        <v>-2181</v>
      </c>
      <c r="AP10" s="22">
        <v>172</v>
      </c>
      <c r="AQ10" s="23">
        <v>135</v>
      </c>
      <c r="AR10" s="24">
        <v>69</v>
      </c>
      <c r="AS10" s="25">
        <v>-31</v>
      </c>
      <c r="AT10" s="28">
        <v>1981</v>
      </c>
      <c r="AU10" s="30">
        <v>1786</v>
      </c>
      <c r="AV10" s="11">
        <f t="shared" si="0"/>
        <v>9748</v>
      </c>
      <c r="AW10" s="267">
        <f t="shared" si="1"/>
        <v>-1851</v>
      </c>
      <c r="AX10" s="28"/>
      <c r="AY10" s="30"/>
      <c r="AZ10" s="11">
        <f t="shared" si="2"/>
        <v>9748</v>
      </c>
      <c r="BA10" s="267">
        <f t="shared" si="3"/>
        <v>-1851</v>
      </c>
    </row>
    <row r="11" spans="1:53" x14ac:dyDescent="0.3">
      <c r="A11" s="1040" t="s">
        <v>125</v>
      </c>
      <c r="B11" s="971"/>
      <c r="C11" s="52"/>
      <c r="D11" s="18"/>
      <c r="E11" s="19"/>
      <c r="F11" s="16"/>
      <c r="G11" s="19"/>
      <c r="H11" s="16">
        <v>295</v>
      </c>
      <c r="I11" s="19"/>
      <c r="J11" s="16"/>
      <c r="K11" s="19"/>
      <c r="L11" s="16"/>
      <c r="M11" s="19"/>
      <c r="N11" s="16">
        <v>15</v>
      </c>
      <c r="O11" s="19">
        <v>15</v>
      </c>
      <c r="P11" s="16"/>
      <c r="Q11" s="19"/>
      <c r="R11" s="16"/>
      <c r="S11" s="19"/>
      <c r="T11" s="16"/>
      <c r="U11" s="19"/>
      <c r="V11" s="16">
        <v>6317</v>
      </c>
      <c r="W11" s="19"/>
      <c r="X11" s="18">
        <v>1386</v>
      </c>
      <c r="Y11" s="19">
        <v>1177</v>
      </c>
      <c r="Z11" s="16">
        <v>41</v>
      </c>
      <c r="AA11" s="19">
        <v>150</v>
      </c>
      <c r="AB11" s="16">
        <v>750</v>
      </c>
      <c r="AC11" s="19">
        <v>694</v>
      </c>
      <c r="AD11" s="16"/>
      <c r="AE11" s="19"/>
      <c r="AF11" s="16">
        <v>1518</v>
      </c>
      <c r="AG11" s="19">
        <v>402</v>
      </c>
      <c r="AH11" s="16"/>
      <c r="AI11" s="19"/>
      <c r="AJ11" s="16"/>
      <c r="AK11" s="19"/>
      <c r="AL11" s="16"/>
      <c r="AM11" s="19"/>
      <c r="AN11" s="240">
        <v>75</v>
      </c>
      <c r="AO11" s="244">
        <v>536</v>
      </c>
      <c r="AP11" s="22">
        <v>251</v>
      </c>
      <c r="AQ11" s="23">
        <v>0.09</v>
      </c>
      <c r="AR11" s="24">
        <v>4</v>
      </c>
      <c r="AS11" s="25"/>
      <c r="AT11" s="16"/>
      <c r="AU11" s="19"/>
      <c r="AV11" s="11">
        <f t="shared" si="0"/>
        <v>10652</v>
      </c>
      <c r="AW11" s="267">
        <f t="shared" si="1"/>
        <v>2974.09</v>
      </c>
      <c r="AX11" s="24">
        <v>293</v>
      </c>
      <c r="AY11" s="25"/>
      <c r="AZ11" s="11">
        <f t="shared" si="2"/>
        <v>10945</v>
      </c>
      <c r="BA11" s="267">
        <f t="shared" si="3"/>
        <v>2974.09</v>
      </c>
    </row>
    <row r="12" spans="1:53" s="411" customFormat="1" x14ac:dyDescent="0.3">
      <c r="A12" s="1041" t="s">
        <v>293</v>
      </c>
      <c r="B12" s="1049">
        <f t="shared" ref="B12:AG12" si="4">SUM(B5:B11)</f>
        <v>53180</v>
      </c>
      <c r="C12" s="413">
        <f t="shared" si="4"/>
        <v>28772</v>
      </c>
      <c r="D12" s="414">
        <f t="shared" si="4"/>
        <v>1011</v>
      </c>
      <c r="E12" s="413">
        <f t="shared" si="4"/>
        <v>606</v>
      </c>
      <c r="F12" s="412">
        <f t="shared" si="4"/>
        <v>5209</v>
      </c>
      <c r="G12" s="413">
        <f t="shared" si="4"/>
        <v>6631</v>
      </c>
      <c r="H12" s="412">
        <f t="shared" si="4"/>
        <v>190141</v>
      </c>
      <c r="I12" s="413">
        <f t="shared" si="4"/>
        <v>151062</v>
      </c>
      <c r="J12" s="412">
        <f t="shared" si="4"/>
        <v>11415</v>
      </c>
      <c r="K12" s="413">
        <f t="shared" si="4"/>
        <v>6394</v>
      </c>
      <c r="L12" s="412">
        <f t="shared" si="4"/>
        <v>26151</v>
      </c>
      <c r="M12" s="413">
        <f t="shared" si="4"/>
        <v>27051</v>
      </c>
      <c r="N12" s="412">
        <f t="shared" si="4"/>
        <v>6201</v>
      </c>
      <c r="O12" s="413">
        <f t="shared" si="4"/>
        <v>12213</v>
      </c>
      <c r="P12" s="412">
        <f t="shared" si="4"/>
        <v>7386</v>
      </c>
      <c r="Q12" s="413">
        <f t="shared" si="4"/>
        <v>3118</v>
      </c>
      <c r="R12" s="412">
        <f t="shared" si="4"/>
        <v>0</v>
      </c>
      <c r="S12" s="413">
        <f t="shared" si="4"/>
        <v>20883</v>
      </c>
      <c r="T12" s="412">
        <f t="shared" si="4"/>
        <v>2520</v>
      </c>
      <c r="U12" s="413">
        <f t="shared" si="4"/>
        <v>2358</v>
      </c>
      <c r="V12" s="412">
        <f t="shared" si="4"/>
        <v>222430</v>
      </c>
      <c r="W12" s="413">
        <f t="shared" si="4"/>
        <v>179872</v>
      </c>
      <c r="X12" s="414">
        <f>SUM(X5:X11)</f>
        <v>291001</v>
      </c>
      <c r="Y12" s="413">
        <f t="shared" si="4"/>
        <v>318633</v>
      </c>
      <c r="Z12" s="412">
        <f t="shared" si="4"/>
        <v>13840</v>
      </c>
      <c r="AA12" s="413">
        <f t="shared" si="4"/>
        <v>11365</v>
      </c>
      <c r="AB12" s="412">
        <f t="shared" si="4"/>
        <v>37441.96</v>
      </c>
      <c r="AC12" s="413">
        <f t="shared" si="4"/>
        <v>21611</v>
      </c>
      <c r="AD12" s="412">
        <f t="shared" si="4"/>
        <v>119374</v>
      </c>
      <c r="AE12" s="413">
        <f t="shared" si="4"/>
        <v>51869</v>
      </c>
      <c r="AF12" s="412">
        <f t="shared" si="4"/>
        <v>78576</v>
      </c>
      <c r="AG12" s="413">
        <f t="shared" si="4"/>
        <v>60321</v>
      </c>
      <c r="AH12" s="412">
        <f t="shared" ref="AH12:AY12" si="5">SUM(AH5:AH11)</f>
        <v>24227</v>
      </c>
      <c r="AI12" s="413">
        <f t="shared" si="5"/>
        <v>17476</v>
      </c>
      <c r="AJ12" s="412">
        <f t="shared" si="5"/>
        <v>26184</v>
      </c>
      <c r="AK12" s="413">
        <f t="shared" si="5"/>
        <v>28497</v>
      </c>
      <c r="AL12" s="412">
        <f t="shared" si="5"/>
        <v>0</v>
      </c>
      <c r="AM12" s="413">
        <f t="shared" si="5"/>
        <v>0</v>
      </c>
      <c r="AN12" s="412">
        <f t="shared" si="5"/>
        <v>350240</v>
      </c>
      <c r="AO12" s="413">
        <f t="shared" si="5"/>
        <v>272083</v>
      </c>
      <c r="AP12" s="412">
        <f t="shared" si="5"/>
        <v>16742</v>
      </c>
      <c r="AQ12" s="413">
        <f t="shared" si="5"/>
        <v>9709.09</v>
      </c>
      <c r="AR12" s="412">
        <f t="shared" si="5"/>
        <v>18566</v>
      </c>
      <c r="AS12" s="413">
        <f t="shared" si="5"/>
        <v>30848</v>
      </c>
      <c r="AT12" s="412">
        <f t="shared" si="5"/>
        <v>176847</v>
      </c>
      <c r="AU12" s="413">
        <f t="shared" si="5"/>
        <v>72108</v>
      </c>
      <c r="AV12" s="406">
        <f t="shared" si="0"/>
        <v>1678682.96</v>
      </c>
      <c r="AW12" s="410">
        <f t="shared" si="1"/>
        <v>1333480.0900000001</v>
      </c>
      <c r="AX12" s="412">
        <f t="shared" si="5"/>
        <v>3719962</v>
      </c>
      <c r="AY12" s="413">
        <f t="shared" si="5"/>
        <v>1239467</v>
      </c>
      <c r="AZ12" s="406">
        <f t="shared" si="2"/>
        <v>5398644.96</v>
      </c>
      <c r="BA12" s="410">
        <f t="shared" si="3"/>
        <v>2572947.09</v>
      </c>
    </row>
    <row r="13" spans="1:53" ht="28.5" x14ac:dyDescent="0.3">
      <c r="A13" s="1040" t="s">
        <v>126</v>
      </c>
      <c r="B13" s="971">
        <v>4550</v>
      </c>
      <c r="C13" s="52">
        <v>3550</v>
      </c>
      <c r="D13" s="18">
        <v>911</v>
      </c>
      <c r="E13" s="19">
        <v>803</v>
      </c>
      <c r="F13" s="16">
        <f>1013+508</f>
        <v>1521</v>
      </c>
      <c r="G13" s="19">
        <f>306+382+1651</f>
        <v>2339</v>
      </c>
      <c r="H13" s="16">
        <v>3145</v>
      </c>
      <c r="I13" s="19">
        <f>2601</f>
        <v>2601</v>
      </c>
      <c r="J13" s="16">
        <v>230</v>
      </c>
      <c r="K13" s="19">
        <v>6547</v>
      </c>
      <c r="L13" s="16">
        <f>854+292+461+179</f>
        <v>1786</v>
      </c>
      <c r="M13" s="19">
        <f>356+220+183+229</f>
        <v>988</v>
      </c>
      <c r="N13" s="16">
        <f>464+931</f>
        <v>1395</v>
      </c>
      <c r="O13" s="19">
        <f>2899+1690</f>
        <v>4589</v>
      </c>
      <c r="P13" s="16">
        <f>47+1152</f>
        <v>1199</v>
      </c>
      <c r="Q13" s="19">
        <f>60+890</f>
        <v>950</v>
      </c>
      <c r="R13" s="16"/>
      <c r="S13" s="19">
        <v>5427</v>
      </c>
      <c r="T13" s="16">
        <f>178+734</f>
        <v>912</v>
      </c>
      <c r="U13" s="19">
        <f>15848+211+367</f>
        <v>16426</v>
      </c>
      <c r="V13" s="16">
        <v>2236</v>
      </c>
      <c r="W13" s="19">
        <f>1891+4002+1052</f>
        <v>6945</v>
      </c>
      <c r="X13" s="18">
        <v>2360</v>
      </c>
      <c r="Y13" s="19">
        <f>1569</f>
        <v>1569</v>
      </c>
      <c r="Z13" s="16">
        <v>431</v>
      </c>
      <c r="AA13" s="19">
        <v>361</v>
      </c>
      <c r="AB13" s="16">
        <v>820</v>
      </c>
      <c r="AC13" s="19">
        <v>812</v>
      </c>
      <c r="AD13" s="16">
        <v>306</v>
      </c>
      <c r="AE13" s="19">
        <v>252</v>
      </c>
      <c r="AF13" s="16">
        <v>2000</v>
      </c>
      <c r="AG13" s="19">
        <v>2213</v>
      </c>
      <c r="AH13" s="16">
        <v>1861</v>
      </c>
      <c r="AI13" s="19">
        <v>1240</v>
      </c>
      <c r="AJ13" s="16">
        <v>1693</v>
      </c>
      <c r="AK13" s="19">
        <v>1353</v>
      </c>
      <c r="AL13" s="16"/>
      <c r="AM13" s="19"/>
      <c r="AN13" s="239"/>
      <c r="AO13" s="243"/>
      <c r="AP13" s="22">
        <v>77</v>
      </c>
      <c r="AQ13" s="23">
        <v>134</v>
      </c>
      <c r="AR13" s="24">
        <f>511+470</f>
        <v>981</v>
      </c>
      <c r="AS13" s="25">
        <v>643</v>
      </c>
      <c r="AT13" s="16">
        <v>1490</v>
      </c>
      <c r="AU13" s="19">
        <v>2494</v>
      </c>
      <c r="AV13" s="11">
        <f t="shared" si="0"/>
        <v>29904</v>
      </c>
      <c r="AW13" s="267">
        <f t="shared" si="1"/>
        <v>62236</v>
      </c>
      <c r="AX13" s="24">
        <v>39</v>
      </c>
      <c r="AY13" s="25">
        <v>50</v>
      </c>
      <c r="AZ13" s="11">
        <f t="shared" si="2"/>
        <v>29943</v>
      </c>
      <c r="BA13" s="267">
        <f t="shared" si="3"/>
        <v>62286</v>
      </c>
    </row>
    <row r="14" spans="1:53" x14ac:dyDescent="0.3">
      <c r="A14" s="1040" t="s">
        <v>127</v>
      </c>
      <c r="B14" s="971"/>
      <c r="C14" s="52"/>
      <c r="D14" s="18"/>
      <c r="E14" s="19"/>
      <c r="F14" s="16"/>
      <c r="G14" s="19"/>
      <c r="H14" s="16"/>
      <c r="I14" s="19"/>
      <c r="J14" s="16"/>
      <c r="K14" s="19"/>
      <c r="L14" s="16"/>
      <c r="M14" s="19"/>
      <c r="N14" s="16"/>
      <c r="O14" s="19"/>
      <c r="P14" s="16"/>
      <c r="Q14" s="19"/>
      <c r="R14" s="16"/>
      <c r="S14" s="19"/>
      <c r="T14" s="16"/>
      <c r="U14" s="19"/>
      <c r="V14" s="16"/>
      <c r="W14" s="19"/>
      <c r="X14" s="18"/>
      <c r="Y14" s="19"/>
      <c r="Z14" s="16"/>
      <c r="AA14" s="19"/>
      <c r="AB14" s="16"/>
      <c r="AC14" s="19"/>
      <c r="AD14" s="16"/>
      <c r="AE14" s="19"/>
      <c r="AF14" s="16"/>
      <c r="AG14" s="19"/>
      <c r="AH14" s="16"/>
      <c r="AI14" s="19"/>
      <c r="AJ14" s="16"/>
      <c r="AK14" s="19"/>
      <c r="AL14" s="16"/>
      <c r="AM14" s="19"/>
      <c r="AN14" s="241"/>
      <c r="AO14" s="245"/>
      <c r="AP14" s="22"/>
      <c r="AQ14" s="23"/>
      <c r="AR14" s="24"/>
      <c r="AS14" s="25"/>
      <c r="AT14" s="16"/>
      <c r="AU14" s="19"/>
      <c r="AV14" s="11">
        <f t="shared" si="0"/>
        <v>0</v>
      </c>
      <c r="AW14" s="267">
        <f t="shared" si="1"/>
        <v>0</v>
      </c>
      <c r="AX14" s="24"/>
      <c r="AY14" s="25"/>
      <c r="AZ14" s="11">
        <f t="shared" si="2"/>
        <v>0</v>
      </c>
      <c r="BA14" s="267">
        <f t="shared" si="3"/>
        <v>0</v>
      </c>
    </row>
    <row r="15" spans="1:53" x14ac:dyDescent="0.3">
      <c r="A15" s="1040" t="s">
        <v>128</v>
      </c>
      <c r="B15" s="11"/>
      <c r="C15" s="13"/>
      <c r="D15" s="29"/>
      <c r="E15" s="30"/>
      <c r="F15" s="28"/>
      <c r="G15" s="30"/>
      <c r="H15" s="28"/>
      <c r="I15" s="30"/>
      <c r="J15" s="28"/>
      <c r="K15" s="30"/>
      <c r="L15" s="28"/>
      <c r="M15" s="30"/>
      <c r="N15" s="28"/>
      <c r="O15" s="30"/>
      <c r="P15" s="28"/>
      <c r="Q15" s="30"/>
      <c r="R15" s="28"/>
      <c r="S15" s="30"/>
      <c r="T15" s="28"/>
      <c r="U15" s="30"/>
      <c r="V15" s="28"/>
      <c r="W15" s="30"/>
      <c r="X15" s="29"/>
      <c r="Y15" s="30"/>
      <c r="Z15" s="20"/>
      <c r="AA15" s="21"/>
      <c r="AB15" s="28"/>
      <c r="AC15" s="30"/>
      <c r="AD15" s="31"/>
      <c r="AE15" s="32"/>
      <c r="AF15" s="28"/>
      <c r="AG15" s="30"/>
      <c r="AH15" s="28"/>
      <c r="AI15" s="30"/>
      <c r="AJ15" s="28"/>
      <c r="AK15" s="30"/>
      <c r="AL15" s="16"/>
      <c r="AM15" s="19"/>
      <c r="AN15" s="240">
        <v>139</v>
      </c>
      <c r="AO15" s="244">
        <v>131</v>
      </c>
      <c r="AP15" s="22"/>
      <c r="AQ15" s="23"/>
      <c r="AR15" s="24"/>
      <c r="AS15" s="25"/>
      <c r="AT15" s="28"/>
      <c r="AU15" s="30"/>
      <c r="AV15" s="11">
        <f t="shared" si="0"/>
        <v>139</v>
      </c>
      <c r="AW15" s="267">
        <f t="shared" si="1"/>
        <v>131</v>
      </c>
      <c r="AX15" s="28"/>
      <c r="AY15" s="30"/>
      <c r="AZ15" s="11">
        <f t="shared" si="2"/>
        <v>139</v>
      </c>
      <c r="BA15" s="267">
        <f t="shared" si="3"/>
        <v>131</v>
      </c>
    </row>
    <row r="16" spans="1:53" x14ac:dyDescent="0.3">
      <c r="A16" s="1040" t="s">
        <v>129</v>
      </c>
      <c r="B16" s="971"/>
      <c r="C16" s="52"/>
      <c r="D16" s="18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8"/>
      <c r="Y16" s="19"/>
      <c r="Z16" s="20"/>
      <c r="AA16" s="21"/>
      <c r="AB16" s="16"/>
      <c r="AC16" s="19"/>
      <c r="AD16" s="16"/>
      <c r="AE16" s="19"/>
      <c r="AF16" s="16"/>
      <c r="AG16" s="19"/>
      <c r="AH16" s="16"/>
      <c r="AI16" s="19"/>
      <c r="AJ16" s="16"/>
      <c r="AK16" s="19"/>
      <c r="AL16" s="16"/>
      <c r="AM16" s="19"/>
      <c r="AN16" s="240"/>
      <c r="AO16" s="244"/>
      <c r="AP16" s="22"/>
      <c r="AQ16" s="23"/>
      <c r="AR16" s="24"/>
      <c r="AS16" s="25"/>
      <c r="AT16" s="16"/>
      <c r="AU16" s="19"/>
      <c r="AV16" s="11">
        <f t="shared" si="0"/>
        <v>0</v>
      </c>
      <c r="AW16" s="267">
        <f t="shared" si="1"/>
        <v>0</v>
      </c>
      <c r="AX16" s="16"/>
      <c r="AY16" s="19"/>
      <c r="AZ16" s="11">
        <f t="shared" si="2"/>
        <v>0</v>
      </c>
      <c r="BA16" s="267">
        <f t="shared" si="3"/>
        <v>0</v>
      </c>
    </row>
    <row r="17" spans="1:53" x14ac:dyDescent="0.3">
      <c r="A17" s="1040" t="s">
        <v>130</v>
      </c>
      <c r="B17" s="971"/>
      <c r="C17" s="52"/>
      <c r="D17" s="18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8"/>
      <c r="Y17" s="19"/>
      <c r="Z17" s="20"/>
      <c r="AA17" s="21"/>
      <c r="AB17" s="16"/>
      <c r="AC17" s="19"/>
      <c r="AD17" s="16"/>
      <c r="AE17" s="19"/>
      <c r="AF17" s="16"/>
      <c r="AG17" s="19"/>
      <c r="AH17" s="16"/>
      <c r="AI17" s="19"/>
      <c r="AJ17" s="16"/>
      <c r="AK17" s="19"/>
      <c r="AL17" s="16"/>
      <c r="AM17" s="19"/>
      <c r="AN17" s="240"/>
      <c r="AO17" s="244">
        <v>14</v>
      </c>
      <c r="AP17" s="22"/>
      <c r="AQ17" s="23"/>
      <c r="AR17" s="24"/>
      <c r="AS17" s="25"/>
      <c r="AT17" s="16"/>
      <c r="AU17" s="19"/>
      <c r="AV17" s="11">
        <f t="shared" si="0"/>
        <v>0</v>
      </c>
      <c r="AW17" s="267">
        <f t="shared" si="1"/>
        <v>14</v>
      </c>
      <c r="AX17" s="16"/>
      <c r="AY17" s="19"/>
      <c r="AZ17" s="11">
        <f t="shared" si="2"/>
        <v>0</v>
      </c>
      <c r="BA17" s="267">
        <f t="shared" si="3"/>
        <v>14</v>
      </c>
    </row>
    <row r="18" spans="1:53" x14ac:dyDescent="0.3">
      <c r="A18" s="1040" t="s">
        <v>131</v>
      </c>
      <c r="B18" s="11">
        <f>3730+914</f>
        <v>4644</v>
      </c>
      <c r="C18" s="52">
        <f>2481+823</f>
        <v>3304</v>
      </c>
      <c r="D18" s="18"/>
      <c r="E18" s="19"/>
      <c r="F18" s="16">
        <v>-1</v>
      </c>
      <c r="G18" s="19"/>
      <c r="H18" s="16">
        <v>1919</v>
      </c>
      <c r="I18" s="19">
        <v>1356</v>
      </c>
      <c r="J18" s="16">
        <f>410+538+47</f>
        <v>995</v>
      </c>
      <c r="K18" s="19">
        <f>338+539+749</f>
        <v>1626</v>
      </c>
      <c r="L18" s="16"/>
      <c r="M18" s="19"/>
      <c r="N18" s="16"/>
      <c r="O18" s="19"/>
      <c r="P18" s="16"/>
      <c r="Q18" s="19"/>
      <c r="R18" s="16"/>
      <c r="S18" s="19">
        <v>1819</v>
      </c>
      <c r="T18" s="16"/>
      <c r="U18" s="19">
        <f>3666+252</f>
        <v>3918</v>
      </c>
      <c r="V18" s="16">
        <f>1096+6219</f>
        <v>7315</v>
      </c>
      <c r="W18" s="19"/>
      <c r="X18" s="18">
        <f>546+8220</f>
        <v>8766</v>
      </c>
      <c r="Y18" s="19">
        <f>589+8220</f>
        <v>8809</v>
      </c>
      <c r="Z18" s="20">
        <f>262</f>
        <v>262</v>
      </c>
      <c r="AA18" s="21">
        <v>224</v>
      </c>
      <c r="AB18" s="16">
        <v>1707</v>
      </c>
      <c r="AC18" s="19">
        <v>880</v>
      </c>
      <c r="AD18" s="16">
        <v>338</v>
      </c>
      <c r="AE18" s="19">
        <v>262</v>
      </c>
      <c r="AF18" s="16">
        <f>3730+300</f>
        <v>4030</v>
      </c>
      <c r="AG18" s="19">
        <v>2456</v>
      </c>
      <c r="AH18" s="16">
        <v>3248</v>
      </c>
      <c r="AI18" s="19">
        <f>49+561</f>
        <v>610</v>
      </c>
      <c r="AJ18" s="16">
        <v>1178</v>
      </c>
      <c r="AK18" s="19">
        <f>1707+534</f>
        <v>2241</v>
      </c>
      <c r="AL18" s="16"/>
      <c r="AM18" s="19"/>
      <c r="AN18" s="240">
        <v>1321</v>
      </c>
      <c r="AO18" s="244">
        <v>12880</v>
      </c>
      <c r="AP18" s="22"/>
      <c r="AQ18" s="23"/>
      <c r="AR18" s="24">
        <f>969</f>
        <v>969</v>
      </c>
      <c r="AS18" s="25">
        <f>461+340+1</f>
        <v>802</v>
      </c>
      <c r="AT18" s="16">
        <v>3866</v>
      </c>
      <c r="AU18" s="19">
        <v>218</v>
      </c>
      <c r="AV18" s="11">
        <f t="shared" si="0"/>
        <v>40557</v>
      </c>
      <c r="AW18" s="267">
        <f t="shared" si="1"/>
        <v>41405</v>
      </c>
      <c r="AX18" s="16"/>
      <c r="AY18" s="19"/>
      <c r="AZ18" s="11">
        <f t="shared" si="2"/>
        <v>40557</v>
      </c>
      <c r="BA18" s="267">
        <f t="shared" si="3"/>
        <v>41405</v>
      </c>
    </row>
    <row r="19" spans="1:53" ht="28.5" x14ac:dyDescent="0.3">
      <c r="A19" s="1040" t="s">
        <v>132</v>
      </c>
      <c r="B19" s="971">
        <v>125</v>
      </c>
      <c r="C19" s="52">
        <v>125</v>
      </c>
      <c r="D19" s="18"/>
      <c r="E19" s="19"/>
      <c r="F19" s="16"/>
      <c r="G19" s="19"/>
      <c r="H19" s="16"/>
      <c r="I19" s="19"/>
      <c r="J19" s="16">
        <v>20</v>
      </c>
      <c r="K19" s="19"/>
      <c r="L19" s="16">
        <v>180</v>
      </c>
      <c r="M19" s="19">
        <v>207</v>
      </c>
      <c r="N19" s="16">
        <v>30</v>
      </c>
      <c r="O19" s="19">
        <v>40</v>
      </c>
      <c r="P19" s="16"/>
      <c r="Q19" s="19"/>
      <c r="R19" s="16"/>
      <c r="S19" s="19">
        <v>68</v>
      </c>
      <c r="T19" s="16">
        <v>252</v>
      </c>
      <c r="U19" s="19"/>
      <c r="V19" s="16">
        <v>1919</v>
      </c>
      <c r="W19" s="19">
        <v>1302</v>
      </c>
      <c r="X19" s="18">
        <v>396</v>
      </c>
      <c r="Y19" s="19">
        <v>691</v>
      </c>
      <c r="Z19" s="20">
        <v>261</v>
      </c>
      <c r="AA19" s="21">
        <v>281</v>
      </c>
      <c r="AB19" s="16"/>
      <c r="AC19" s="19"/>
      <c r="AD19" s="16">
        <v>1124</v>
      </c>
      <c r="AE19" s="19">
        <v>1194</v>
      </c>
      <c r="AF19" s="16">
        <v>1000</v>
      </c>
      <c r="AG19" s="19">
        <v>840</v>
      </c>
      <c r="AH19" s="16">
        <v>183</v>
      </c>
      <c r="AI19" s="19">
        <v>192</v>
      </c>
      <c r="AJ19" s="16"/>
      <c r="AK19" s="19"/>
      <c r="AL19" s="16"/>
      <c r="AM19" s="19"/>
      <c r="AN19" s="240">
        <v>2262</v>
      </c>
      <c r="AO19" s="244">
        <v>2673</v>
      </c>
      <c r="AP19" s="22">
        <v>99</v>
      </c>
      <c r="AQ19" s="23">
        <v>135</v>
      </c>
      <c r="AR19" s="24">
        <v>150</v>
      </c>
      <c r="AS19" s="25">
        <v>167</v>
      </c>
      <c r="AT19" s="16">
        <v>150</v>
      </c>
      <c r="AU19" s="19">
        <v>201</v>
      </c>
      <c r="AV19" s="11">
        <f t="shared" si="0"/>
        <v>8151</v>
      </c>
      <c r="AW19" s="267">
        <f t="shared" si="1"/>
        <v>8116</v>
      </c>
      <c r="AX19" s="16"/>
      <c r="AY19" s="19"/>
      <c r="AZ19" s="11">
        <f t="shared" si="2"/>
        <v>8151</v>
      </c>
      <c r="BA19" s="267">
        <f t="shared" si="3"/>
        <v>8116</v>
      </c>
    </row>
    <row r="20" spans="1:53" x14ac:dyDescent="0.3">
      <c r="A20" s="1040" t="s">
        <v>133</v>
      </c>
      <c r="B20" s="11"/>
      <c r="C20" s="13"/>
      <c r="D20" s="29"/>
      <c r="E20" s="30"/>
      <c r="F20" s="28"/>
      <c r="G20" s="30"/>
      <c r="H20" s="28"/>
      <c r="I20" s="30"/>
      <c r="J20" s="28"/>
      <c r="K20" s="30"/>
      <c r="L20" s="28">
        <v>11</v>
      </c>
      <c r="M20" s="30"/>
      <c r="N20" s="28"/>
      <c r="O20" s="30"/>
      <c r="P20" s="28"/>
      <c r="Q20" s="30"/>
      <c r="R20" s="28"/>
      <c r="S20" s="30"/>
      <c r="T20" s="28"/>
      <c r="U20" s="30"/>
      <c r="V20" s="28"/>
      <c r="W20" s="30"/>
      <c r="X20" s="29"/>
      <c r="Y20" s="30"/>
      <c r="Z20" s="20"/>
      <c r="AA20" s="21"/>
      <c r="AB20" s="28"/>
      <c r="AC20" s="30">
        <v>1.67</v>
      </c>
      <c r="AD20" s="31"/>
      <c r="AE20" s="32"/>
      <c r="AF20" s="28"/>
      <c r="AG20" s="30"/>
      <c r="AH20" s="28"/>
      <c r="AI20" s="30"/>
      <c r="AJ20" s="28"/>
      <c r="AK20" s="30"/>
      <c r="AL20" s="16"/>
      <c r="AM20" s="19"/>
      <c r="AN20" s="241"/>
      <c r="AO20" s="245"/>
      <c r="AP20" s="22"/>
      <c r="AQ20" s="23"/>
      <c r="AR20" s="24">
        <v>14</v>
      </c>
      <c r="AS20" s="25">
        <v>1200</v>
      </c>
      <c r="AT20" s="28">
        <v>343</v>
      </c>
      <c r="AU20" s="30">
        <v>4</v>
      </c>
      <c r="AV20" s="11">
        <f t="shared" si="0"/>
        <v>368</v>
      </c>
      <c r="AW20" s="267">
        <f t="shared" si="1"/>
        <v>1205.67</v>
      </c>
      <c r="AX20" s="28"/>
      <c r="AY20" s="30"/>
      <c r="AZ20" s="11">
        <f t="shared" si="2"/>
        <v>368</v>
      </c>
      <c r="BA20" s="267">
        <f t="shared" si="3"/>
        <v>1205.67</v>
      </c>
    </row>
    <row r="21" spans="1:53" ht="28.5" x14ac:dyDescent="0.3">
      <c r="A21" s="1040" t="s">
        <v>134</v>
      </c>
      <c r="B21" s="971">
        <v>28477</v>
      </c>
      <c r="C21" s="52">
        <v>7703</v>
      </c>
      <c r="D21" s="18">
        <f>11011+196</f>
        <v>11207</v>
      </c>
      <c r="E21" s="19">
        <f>8429+59</f>
        <v>8488</v>
      </c>
      <c r="F21" s="16">
        <f>370+15162</f>
        <v>15532</v>
      </c>
      <c r="G21" s="19">
        <v>12987</v>
      </c>
      <c r="H21" s="16">
        <f>28189+907+117649</f>
        <v>146745</v>
      </c>
      <c r="I21" s="19">
        <f>27043+85943</f>
        <v>112986</v>
      </c>
      <c r="J21" s="16">
        <f>20974+9506</f>
        <v>30480</v>
      </c>
      <c r="K21" s="19">
        <f>9326+23144</f>
        <v>32470</v>
      </c>
      <c r="L21" s="16">
        <v>14319</v>
      </c>
      <c r="M21" s="19">
        <f>24180+640</f>
        <v>24820</v>
      </c>
      <c r="N21" s="251">
        <v>1089</v>
      </c>
      <c r="O21" s="19">
        <v>7791</v>
      </c>
      <c r="P21" s="16">
        <f>15433+12278</f>
        <v>27711</v>
      </c>
      <c r="Q21" s="19">
        <f>17132+9309</f>
        <v>26441</v>
      </c>
      <c r="R21" s="16"/>
      <c r="S21" s="19">
        <v>12167</v>
      </c>
      <c r="T21" s="16">
        <f>18689+2492</f>
        <v>21181</v>
      </c>
      <c r="U21" s="19"/>
      <c r="V21" s="16">
        <v>86658</v>
      </c>
      <c r="W21" s="19">
        <v>56943</v>
      </c>
      <c r="X21" s="18">
        <f>26560+153683</f>
        <v>180243</v>
      </c>
      <c r="Y21" s="19">
        <f>21450+194661</f>
        <v>216111</v>
      </c>
      <c r="Z21" s="20">
        <v>118</v>
      </c>
      <c r="AA21" s="21">
        <v>134</v>
      </c>
      <c r="AB21" s="16">
        <f>710+26782</f>
        <v>27492</v>
      </c>
      <c r="AC21" s="19">
        <f>47+48389</f>
        <v>48436</v>
      </c>
      <c r="AD21" s="16">
        <f>4058+4500</f>
        <v>8558</v>
      </c>
      <c r="AE21" s="19">
        <v>4047</v>
      </c>
      <c r="AF21" s="16">
        <f>1043+19991</f>
        <v>21034</v>
      </c>
      <c r="AG21" s="19">
        <f>1557+11675</f>
        <v>13232</v>
      </c>
      <c r="AH21" s="16">
        <f>869+5758</f>
        <v>6627</v>
      </c>
      <c r="AI21" s="19">
        <f>250+22288</f>
        <v>22538</v>
      </c>
      <c r="AJ21" s="16">
        <f>9735+2806</f>
        <v>12541</v>
      </c>
      <c r="AK21" s="19">
        <f>8456+10672</f>
        <v>19128</v>
      </c>
      <c r="AL21" s="16"/>
      <c r="AM21" s="19"/>
      <c r="AN21" s="241">
        <v>170749</v>
      </c>
      <c r="AO21" s="245">
        <v>98215</v>
      </c>
      <c r="AP21" s="22">
        <v>230</v>
      </c>
      <c r="AQ21" s="23">
        <v>8140</v>
      </c>
      <c r="AR21" s="24">
        <f>472+3166</f>
        <v>3638</v>
      </c>
      <c r="AS21" s="25">
        <v>28047</v>
      </c>
      <c r="AT21" s="16">
        <f>11634+105168</f>
        <v>116802</v>
      </c>
      <c r="AU21" s="19">
        <f>56018+4009</f>
        <v>60027</v>
      </c>
      <c r="AV21" s="11">
        <f t="shared" si="0"/>
        <v>931431</v>
      </c>
      <c r="AW21" s="267">
        <f t="shared" si="1"/>
        <v>820851</v>
      </c>
      <c r="AX21" s="24">
        <f>936+26187</f>
        <v>27123</v>
      </c>
      <c r="AY21" s="25">
        <f>942+831804</f>
        <v>832746</v>
      </c>
      <c r="AZ21" s="11">
        <f t="shared" si="2"/>
        <v>958554</v>
      </c>
      <c r="BA21" s="267">
        <f t="shared" si="3"/>
        <v>1653597</v>
      </c>
    </row>
    <row r="22" spans="1:53" x14ac:dyDescent="0.3">
      <c r="A22" s="1040" t="s">
        <v>135</v>
      </c>
      <c r="B22" s="971"/>
      <c r="C22" s="52"/>
      <c r="D22" s="18"/>
      <c r="E22" s="19"/>
      <c r="F22" s="16"/>
      <c r="G22" s="19"/>
      <c r="H22" s="16"/>
      <c r="I22" s="19"/>
      <c r="J22" s="16"/>
      <c r="K22" s="19"/>
      <c r="L22" s="16"/>
      <c r="M22" s="19"/>
      <c r="N22" s="16"/>
      <c r="O22" s="19"/>
      <c r="P22" s="16"/>
      <c r="Q22" s="19"/>
      <c r="R22" s="16"/>
      <c r="S22" s="19"/>
      <c r="T22" s="16"/>
      <c r="U22" s="19"/>
      <c r="V22" s="16"/>
      <c r="W22" s="19"/>
      <c r="X22" s="18"/>
      <c r="Y22" s="19"/>
      <c r="Z22" s="20"/>
      <c r="AA22" s="21"/>
      <c r="AB22" s="16"/>
      <c r="AC22" s="19"/>
      <c r="AD22" s="16"/>
      <c r="AE22" s="19"/>
      <c r="AF22" s="16"/>
      <c r="AG22" s="19"/>
      <c r="AH22" s="16"/>
      <c r="AI22" s="19"/>
      <c r="AJ22" s="16"/>
      <c r="AK22" s="19"/>
      <c r="AL22" s="16"/>
      <c r="AM22" s="19"/>
      <c r="AN22" s="239"/>
      <c r="AO22" s="243"/>
      <c r="AP22" s="22"/>
      <c r="AQ22" s="23"/>
      <c r="AR22" s="24"/>
      <c r="AS22" s="25"/>
      <c r="AT22" s="16"/>
      <c r="AU22" s="19"/>
      <c r="AV22" s="11">
        <f t="shared" si="0"/>
        <v>0</v>
      </c>
      <c r="AW22" s="267">
        <f t="shared" si="1"/>
        <v>0</v>
      </c>
      <c r="AX22" s="24"/>
      <c r="AY22" s="25"/>
      <c r="AZ22" s="11">
        <f t="shared" si="2"/>
        <v>0</v>
      </c>
      <c r="BA22" s="267">
        <f t="shared" si="3"/>
        <v>0</v>
      </c>
    </row>
    <row r="23" spans="1:53" ht="28.5" x14ac:dyDescent="0.3">
      <c r="A23" s="1040" t="s">
        <v>136</v>
      </c>
      <c r="B23" s="971"/>
      <c r="C23" s="52"/>
      <c r="D23" s="18"/>
      <c r="E23" s="19"/>
      <c r="F23" s="16"/>
      <c r="G23" s="19">
        <v>-103</v>
      </c>
      <c r="H23" s="16">
        <v>-6812</v>
      </c>
      <c r="I23" s="19">
        <v>-11685</v>
      </c>
      <c r="J23" s="16"/>
      <c r="K23" s="19"/>
      <c r="L23" s="16"/>
      <c r="M23" s="19"/>
      <c r="N23" s="16"/>
      <c r="O23" s="19">
        <v>188</v>
      </c>
      <c r="P23" s="16">
        <v>-1711</v>
      </c>
      <c r="Q23" s="19">
        <v>-1744</v>
      </c>
      <c r="R23" s="16"/>
      <c r="S23" s="19"/>
      <c r="T23" s="16">
        <v>39</v>
      </c>
      <c r="U23" s="19"/>
      <c r="V23" s="16">
        <v>-2394</v>
      </c>
      <c r="W23" s="19">
        <v>-3332</v>
      </c>
      <c r="X23" s="18">
        <v>9205</v>
      </c>
      <c r="Y23" s="19">
        <v>12766</v>
      </c>
      <c r="Z23" s="20">
        <v>195</v>
      </c>
      <c r="AA23" s="21">
        <v>-62</v>
      </c>
      <c r="AB23" s="16">
        <v>-440</v>
      </c>
      <c r="AC23" s="19">
        <v>-330</v>
      </c>
      <c r="AD23" s="16"/>
      <c r="AE23" s="19">
        <v>-58</v>
      </c>
      <c r="AF23" s="16"/>
      <c r="AG23" s="19">
        <v>-118</v>
      </c>
      <c r="AH23" s="16"/>
      <c r="AI23" s="19"/>
      <c r="AJ23" s="16"/>
      <c r="AK23" s="19">
        <v>-745</v>
      </c>
      <c r="AL23" s="16"/>
      <c r="AM23" s="19"/>
      <c r="AN23" s="240">
        <v>-76</v>
      </c>
      <c r="AO23" s="244">
        <v>2096</v>
      </c>
      <c r="AP23" s="22"/>
      <c r="AQ23" s="23"/>
      <c r="AR23" s="24"/>
      <c r="AS23" s="25">
        <v>-2320</v>
      </c>
      <c r="AT23" s="16"/>
      <c r="AU23" s="19"/>
      <c r="AV23" s="11">
        <f t="shared" si="0"/>
        <v>-1994</v>
      </c>
      <c r="AW23" s="267">
        <f t="shared" si="1"/>
        <v>-5447</v>
      </c>
      <c r="AX23" s="24">
        <v>775</v>
      </c>
      <c r="AY23" s="25"/>
      <c r="AZ23" s="11">
        <f t="shared" si="2"/>
        <v>-1219</v>
      </c>
      <c r="BA23" s="267">
        <f t="shared" si="3"/>
        <v>-5447</v>
      </c>
    </row>
    <row r="24" spans="1:53" x14ac:dyDescent="0.3">
      <c r="A24" s="1040" t="s">
        <v>137</v>
      </c>
      <c r="B24" s="971"/>
      <c r="C24" s="52"/>
      <c r="D24" s="18"/>
      <c r="E24" s="19">
        <v>155</v>
      </c>
      <c r="F24" s="16"/>
      <c r="G24" s="19"/>
      <c r="H24" s="16">
        <v>8151</v>
      </c>
      <c r="I24" s="19">
        <v>12718</v>
      </c>
      <c r="J24" s="16"/>
      <c r="K24" s="19"/>
      <c r="L24" s="16">
        <v>13</v>
      </c>
      <c r="M24" s="19">
        <v>12</v>
      </c>
      <c r="N24" s="16"/>
      <c r="O24" s="19"/>
      <c r="P24" s="16"/>
      <c r="Q24" s="19"/>
      <c r="R24" s="16"/>
      <c r="S24" s="19"/>
      <c r="T24" s="16">
        <v>-152</v>
      </c>
      <c r="U24" s="19">
        <v>407</v>
      </c>
      <c r="V24" s="16"/>
      <c r="W24" s="19"/>
      <c r="X24" s="18"/>
      <c r="Y24" s="19">
        <v>-791</v>
      </c>
      <c r="Z24" s="20"/>
      <c r="AA24" s="21"/>
      <c r="AB24" s="16">
        <v>239</v>
      </c>
      <c r="AC24" s="19">
        <v>-26</v>
      </c>
      <c r="AD24" s="16"/>
      <c r="AE24" s="19"/>
      <c r="AF24" s="16"/>
      <c r="AG24" s="19"/>
      <c r="AH24" s="16"/>
      <c r="AI24" s="19"/>
      <c r="AJ24" s="16"/>
      <c r="AK24" s="19"/>
      <c r="AL24" s="16"/>
      <c r="AM24" s="19"/>
      <c r="AN24" s="241"/>
      <c r="AO24" s="245"/>
      <c r="AP24" s="22"/>
      <c r="AQ24" s="23"/>
      <c r="AR24" s="24">
        <v>-15</v>
      </c>
      <c r="AS24" s="25">
        <v>12</v>
      </c>
      <c r="AT24" s="16">
        <v>-114</v>
      </c>
      <c r="AU24" s="19">
        <v>198</v>
      </c>
      <c r="AV24" s="11">
        <f t="shared" si="0"/>
        <v>8122</v>
      </c>
      <c r="AW24" s="267">
        <f t="shared" si="1"/>
        <v>12685</v>
      </c>
      <c r="AX24" s="24"/>
      <c r="AY24" s="25"/>
      <c r="AZ24" s="11">
        <f t="shared" si="2"/>
        <v>8122</v>
      </c>
      <c r="BA24" s="267">
        <f t="shared" si="3"/>
        <v>12685</v>
      </c>
    </row>
    <row r="25" spans="1:53" x14ac:dyDescent="0.3">
      <c r="A25" s="1040" t="s">
        <v>202</v>
      </c>
      <c r="B25" s="971"/>
      <c r="C25" s="52"/>
      <c r="D25" s="18"/>
      <c r="E25" s="19"/>
      <c r="F25" s="16"/>
      <c r="G25" s="19"/>
      <c r="H25" s="16"/>
      <c r="I25" s="19"/>
      <c r="J25" s="16"/>
      <c r="K25" s="19"/>
      <c r="L25" s="16">
        <v>-132</v>
      </c>
      <c r="M25" s="19"/>
      <c r="N25" s="16"/>
      <c r="O25" s="19"/>
      <c r="P25" s="16"/>
      <c r="Q25" s="19"/>
      <c r="R25" s="16"/>
      <c r="S25" s="19"/>
      <c r="T25" s="16"/>
      <c r="U25" s="19"/>
      <c r="V25" s="16">
        <v>-73</v>
      </c>
      <c r="W25" s="19"/>
      <c r="X25" s="18"/>
      <c r="Y25" s="19"/>
      <c r="Z25" s="20"/>
      <c r="AA25" s="21"/>
      <c r="AB25" s="16"/>
      <c r="AC25" s="19"/>
      <c r="AD25" s="16"/>
      <c r="AE25" s="19"/>
      <c r="AF25" s="16">
        <v>48</v>
      </c>
      <c r="AG25" s="19"/>
      <c r="AH25" s="16"/>
      <c r="AI25" s="19"/>
      <c r="AJ25" s="16"/>
      <c r="AK25" s="19"/>
      <c r="AL25" s="16"/>
      <c r="AM25" s="19"/>
      <c r="AN25" s="241"/>
      <c r="AO25" s="245"/>
      <c r="AP25" s="358"/>
      <c r="AQ25" s="23"/>
      <c r="AR25" s="24"/>
      <c r="AS25" s="25">
        <v>17</v>
      </c>
      <c r="AT25" s="16"/>
      <c r="AU25" s="19"/>
      <c r="AV25" s="11"/>
      <c r="AW25" s="357"/>
      <c r="AX25" s="24">
        <v>46344</v>
      </c>
      <c r="AY25" s="25"/>
      <c r="AZ25" s="11"/>
      <c r="BA25" s="357"/>
    </row>
    <row r="26" spans="1:53" s="411" customFormat="1" x14ac:dyDescent="0.3">
      <c r="A26" s="1041" t="s">
        <v>292</v>
      </c>
      <c r="B26" s="406">
        <f>SUM(B13:B24)</f>
        <v>37796</v>
      </c>
      <c r="C26" s="408">
        <f t="shared" ref="C26:AG26" si="6">SUM(C13:C24)</f>
        <v>14682</v>
      </c>
      <c r="D26" s="409">
        <f t="shared" si="6"/>
        <v>12118</v>
      </c>
      <c r="E26" s="408">
        <f t="shared" si="6"/>
        <v>9446</v>
      </c>
      <c r="F26" s="407">
        <f t="shared" si="6"/>
        <v>17052</v>
      </c>
      <c r="G26" s="408">
        <f t="shared" si="6"/>
        <v>15223</v>
      </c>
      <c r="H26" s="407">
        <f t="shared" si="6"/>
        <v>153148</v>
      </c>
      <c r="I26" s="408">
        <f t="shared" si="6"/>
        <v>117976</v>
      </c>
      <c r="J26" s="407">
        <f t="shared" si="6"/>
        <v>31725</v>
      </c>
      <c r="K26" s="408">
        <f t="shared" si="6"/>
        <v>40643</v>
      </c>
      <c r="L26" s="407">
        <f>SUM(L13:L25)</f>
        <v>16177</v>
      </c>
      <c r="M26" s="408">
        <f t="shared" si="6"/>
        <v>26027</v>
      </c>
      <c r="N26" s="407">
        <f t="shared" si="6"/>
        <v>2514</v>
      </c>
      <c r="O26" s="408">
        <f t="shared" si="6"/>
        <v>12608</v>
      </c>
      <c r="P26" s="407">
        <f t="shared" si="6"/>
        <v>27199</v>
      </c>
      <c r="Q26" s="408">
        <f t="shared" si="6"/>
        <v>25647</v>
      </c>
      <c r="R26" s="407">
        <f t="shared" si="6"/>
        <v>0</v>
      </c>
      <c r="S26" s="408">
        <f t="shared" si="6"/>
        <v>19481</v>
      </c>
      <c r="T26" s="407">
        <f t="shared" si="6"/>
        <v>22232</v>
      </c>
      <c r="U26" s="408">
        <f t="shared" si="6"/>
        <v>20751</v>
      </c>
      <c r="V26" s="407">
        <f t="shared" si="6"/>
        <v>95734</v>
      </c>
      <c r="W26" s="408">
        <f t="shared" si="6"/>
        <v>61858</v>
      </c>
      <c r="X26" s="409">
        <f>SUM(X13:X24)</f>
        <v>200970</v>
      </c>
      <c r="Y26" s="408">
        <f t="shared" si="6"/>
        <v>239155</v>
      </c>
      <c r="Z26" s="407">
        <f t="shared" si="6"/>
        <v>1267</v>
      </c>
      <c r="AA26" s="408">
        <f t="shared" si="6"/>
        <v>938</v>
      </c>
      <c r="AB26" s="407">
        <f t="shared" si="6"/>
        <v>29818</v>
      </c>
      <c r="AC26" s="408">
        <f t="shared" si="6"/>
        <v>49773.67</v>
      </c>
      <c r="AD26" s="407">
        <f t="shared" si="6"/>
        <v>10326</v>
      </c>
      <c r="AE26" s="408">
        <f t="shared" si="6"/>
        <v>5697</v>
      </c>
      <c r="AF26" s="407">
        <f>SUM(AF13:AF25)</f>
        <v>28112</v>
      </c>
      <c r="AG26" s="408">
        <f t="shared" si="6"/>
        <v>18623</v>
      </c>
      <c r="AH26" s="407">
        <f t="shared" ref="AH26:AU26" si="7">SUM(AH13:AH24)</f>
        <v>11919</v>
      </c>
      <c r="AI26" s="408">
        <f t="shared" si="7"/>
        <v>24580</v>
      </c>
      <c r="AJ26" s="407">
        <f t="shared" si="7"/>
        <v>15412</v>
      </c>
      <c r="AK26" s="408">
        <f t="shared" si="7"/>
        <v>21977</v>
      </c>
      <c r="AL26" s="407">
        <f t="shared" si="7"/>
        <v>0</v>
      </c>
      <c r="AM26" s="408">
        <f t="shared" si="7"/>
        <v>0</v>
      </c>
      <c r="AN26" s="407">
        <f t="shared" si="7"/>
        <v>174395</v>
      </c>
      <c r="AO26" s="408">
        <f t="shared" si="7"/>
        <v>116009</v>
      </c>
      <c r="AP26" s="408">
        <f t="shared" si="7"/>
        <v>406</v>
      </c>
      <c r="AQ26" s="408">
        <f t="shared" si="7"/>
        <v>8409</v>
      </c>
      <c r="AR26" s="407">
        <f>SUM(AR13:AR25)</f>
        <v>5737</v>
      </c>
      <c r="AS26" s="408">
        <f>SUM(AS13:AS25)</f>
        <v>28568</v>
      </c>
      <c r="AT26" s="407">
        <f t="shared" si="7"/>
        <v>122537</v>
      </c>
      <c r="AU26" s="408">
        <f t="shared" si="7"/>
        <v>63142</v>
      </c>
      <c r="AV26" s="406">
        <f t="shared" ref="AV26:AV37" si="8">SUM(B26+D26+F26+H26+J26+L26+N26+P26+R26+T26+V26+X26+Z26+AB26+AD26+AF26+AH26+AJ26+AL26+AN26+AP26+AR26+AT26)</f>
        <v>1016594</v>
      </c>
      <c r="AW26" s="410">
        <f t="shared" ref="AW26:AW37" si="9">SUM(C26+E26+G26+I26+K26+M26+O26+Q26+S26+U26+W26+Y26+AA26+AC26+AE26+AG26+AI26+AK26+AM26+AO26+AQ26+AS26+AU26)</f>
        <v>941213.67</v>
      </c>
      <c r="AX26" s="407">
        <f>SUM(AX13:AX25)</f>
        <v>74281</v>
      </c>
      <c r="AY26" s="408">
        <f>SUM(AY13:AY24)</f>
        <v>832796</v>
      </c>
      <c r="AZ26" s="406">
        <f t="shared" ref="AZ26:AZ37" si="10">AV26+AX26</f>
        <v>1090875</v>
      </c>
      <c r="BA26" s="410">
        <f t="shared" ref="BA26:BA37" si="11">AW26+AY26</f>
        <v>1774009.67</v>
      </c>
    </row>
    <row r="27" spans="1:53" x14ac:dyDescent="0.3">
      <c r="A27" s="1040" t="s">
        <v>138</v>
      </c>
      <c r="B27" s="971">
        <v>15384</v>
      </c>
      <c r="C27" s="52">
        <v>14090</v>
      </c>
      <c r="D27" s="18">
        <v>-11107</v>
      </c>
      <c r="E27" s="19">
        <v>-8840</v>
      </c>
      <c r="F27" s="16">
        <v>-11843</v>
      </c>
      <c r="G27" s="19">
        <v>-8592</v>
      </c>
      <c r="H27" s="16">
        <v>36993</v>
      </c>
      <c r="I27" s="19">
        <v>31863</v>
      </c>
      <c r="J27" s="16"/>
      <c r="K27" s="19">
        <v>-342448</v>
      </c>
      <c r="L27" s="16">
        <v>9982</v>
      </c>
      <c r="M27" s="19">
        <v>1024</v>
      </c>
      <c r="N27" s="16">
        <v>3687</v>
      </c>
      <c r="O27" s="19">
        <v>-395</v>
      </c>
      <c r="P27" s="16">
        <v>-19814</v>
      </c>
      <c r="Q27" s="19">
        <v>-22528</v>
      </c>
      <c r="R27" s="16"/>
      <c r="S27" s="19">
        <v>1401</v>
      </c>
      <c r="T27" s="16">
        <v>-19711</v>
      </c>
      <c r="U27" s="19">
        <v>-18393</v>
      </c>
      <c r="V27" s="16">
        <v>126769</v>
      </c>
      <c r="W27" s="19">
        <v>118014</v>
      </c>
      <c r="X27" s="18">
        <v>90031</v>
      </c>
      <c r="Y27" s="19">
        <v>79478</v>
      </c>
      <c r="Z27" s="20">
        <v>12573</v>
      </c>
      <c r="AA27" s="21">
        <v>10427</v>
      </c>
      <c r="AB27" s="16">
        <v>7624</v>
      </c>
      <c r="AC27" s="19">
        <v>-28161</v>
      </c>
      <c r="AD27" s="16">
        <v>109048</v>
      </c>
      <c r="AE27" s="19">
        <v>46172</v>
      </c>
      <c r="AF27" s="16">
        <v>50464</v>
      </c>
      <c r="AG27" s="19">
        <v>41695</v>
      </c>
      <c r="AH27" s="16">
        <v>12308</v>
      </c>
      <c r="AI27" s="19">
        <v>-7104</v>
      </c>
      <c r="AJ27" s="16">
        <v>10771</v>
      </c>
      <c r="AK27" s="19">
        <v>6521</v>
      </c>
      <c r="AL27" s="16"/>
      <c r="AM27" s="19"/>
      <c r="AN27" s="240">
        <v>175845</v>
      </c>
      <c r="AO27" s="244">
        <v>156076</v>
      </c>
      <c r="AP27" s="22">
        <v>16335</v>
      </c>
      <c r="AQ27" s="23">
        <v>1300</v>
      </c>
      <c r="AR27" s="24">
        <v>12829</v>
      </c>
      <c r="AS27" s="25">
        <v>2280</v>
      </c>
      <c r="AT27" s="16">
        <v>54310</v>
      </c>
      <c r="AU27" s="19">
        <v>8965</v>
      </c>
      <c r="AV27" s="11">
        <f t="shared" si="8"/>
        <v>682478</v>
      </c>
      <c r="AW27" s="267">
        <f t="shared" si="9"/>
        <v>82845</v>
      </c>
      <c r="AX27" s="24">
        <v>3645678</v>
      </c>
      <c r="AY27" s="25">
        <v>406671</v>
      </c>
      <c r="AZ27" s="11">
        <f t="shared" si="10"/>
        <v>4328156</v>
      </c>
      <c r="BA27" s="267">
        <f t="shared" si="11"/>
        <v>489516</v>
      </c>
    </row>
    <row r="28" spans="1:53" x14ac:dyDescent="0.3">
      <c r="A28" s="1040" t="s">
        <v>139</v>
      </c>
      <c r="B28" s="971">
        <v>1535</v>
      </c>
      <c r="C28" s="52">
        <v>1406</v>
      </c>
      <c r="D28" s="18"/>
      <c r="E28" s="19"/>
      <c r="F28" s="16"/>
      <c r="G28" s="19"/>
      <c r="H28" s="16"/>
      <c r="I28" s="19"/>
      <c r="J28" s="16"/>
      <c r="K28" s="19"/>
      <c r="L28" s="16">
        <v>863</v>
      </c>
      <c r="M28" s="19"/>
      <c r="N28" s="16"/>
      <c r="O28" s="19"/>
      <c r="P28" s="16"/>
      <c r="Q28" s="19"/>
      <c r="R28" s="16"/>
      <c r="S28" s="19"/>
      <c r="T28" s="16"/>
      <c r="U28" s="19"/>
      <c r="V28" s="16">
        <v>-8788</v>
      </c>
      <c r="W28" s="33">
        <v>-2755</v>
      </c>
      <c r="X28" s="18"/>
      <c r="Y28" s="19"/>
      <c r="Z28" s="20">
        <v>1138</v>
      </c>
      <c r="AA28" s="21">
        <v>993</v>
      </c>
      <c r="AB28" s="16"/>
      <c r="AC28" s="19"/>
      <c r="AD28" s="16"/>
      <c r="AE28" s="19"/>
      <c r="AF28" s="16">
        <v>6944</v>
      </c>
      <c r="AG28" s="19">
        <v>3030</v>
      </c>
      <c r="AH28" s="16">
        <v>1089</v>
      </c>
      <c r="AI28" s="19"/>
      <c r="AJ28" s="16"/>
      <c r="AK28" s="19"/>
      <c r="AL28" s="16"/>
      <c r="AM28" s="19"/>
      <c r="AN28" s="239"/>
      <c r="AO28" s="243"/>
      <c r="AP28" s="22">
        <v>736</v>
      </c>
      <c r="AQ28" s="23">
        <v>1045</v>
      </c>
      <c r="AR28" s="24">
        <v>103</v>
      </c>
      <c r="AS28" s="25"/>
      <c r="AT28" s="16">
        <v>3758</v>
      </c>
      <c r="AU28" s="19">
        <v>1893</v>
      </c>
      <c r="AV28" s="11">
        <f t="shared" si="8"/>
        <v>7378</v>
      </c>
      <c r="AW28" s="267">
        <f>SUM(C28+E28+G28+I28+K28+M28+O28+Q28+S28+U28+W34+Y28+AA28+AC28+AE28+AG28+AI28+AK28+AM28+AO28+AQ28+AS28+AU28)</f>
        <v>8367</v>
      </c>
      <c r="AX28" s="24">
        <v>5939</v>
      </c>
      <c r="AY28" s="25">
        <v>2359</v>
      </c>
      <c r="AZ28" s="11">
        <f t="shared" si="10"/>
        <v>13317</v>
      </c>
      <c r="BA28" s="267">
        <f t="shared" si="11"/>
        <v>10726</v>
      </c>
    </row>
    <row r="29" spans="1:53" x14ac:dyDescent="0.3">
      <c r="A29" s="1040" t="s">
        <v>140</v>
      </c>
      <c r="B29" s="971"/>
      <c r="C29" s="52"/>
      <c r="D29" s="18"/>
      <c r="E29" s="19"/>
      <c r="F29" s="16"/>
      <c r="G29" s="19"/>
      <c r="H29" s="16">
        <v>-1965</v>
      </c>
      <c r="I29" s="19">
        <v>-578</v>
      </c>
      <c r="J29" s="16"/>
      <c r="K29" s="19"/>
      <c r="L29" s="16"/>
      <c r="M29" s="19"/>
      <c r="N29" s="16">
        <v>-636</v>
      </c>
      <c r="O29" s="19">
        <v>-105</v>
      </c>
      <c r="P29" s="16"/>
      <c r="Q29" s="19"/>
      <c r="R29" s="16"/>
      <c r="S29" s="19">
        <v>-240</v>
      </c>
      <c r="T29" s="16"/>
      <c r="U29" s="19"/>
      <c r="V29" s="16"/>
      <c r="W29" s="19"/>
      <c r="X29" s="18">
        <v>-55</v>
      </c>
      <c r="Y29" s="19">
        <v>85</v>
      </c>
      <c r="Z29" s="20"/>
      <c r="AA29" s="21"/>
      <c r="AB29" s="16"/>
      <c r="AC29" s="19"/>
      <c r="AD29" s="16"/>
      <c r="AE29" s="19"/>
      <c r="AF29" s="16"/>
      <c r="AG29" s="19"/>
      <c r="AH29" s="16"/>
      <c r="AI29" s="19"/>
      <c r="AJ29" s="16"/>
      <c r="AK29" s="19"/>
      <c r="AL29" s="16"/>
      <c r="AM29" s="19"/>
      <c r="AN29" s="239"/>
      <c r="AO29" s="243"/>
      <c r="AP29" s="22"/>
      <c r="AQ29" s="23"/>
      <c r="AR29" s="24"/>
      <c r="AS29" s="25"/>
      <c r="AT29" s="16"/>
      <c r="AU29" s="19"/>
      <c r="AV29" s="11">
        <f t="shared" si="8"/>
        <v>-2656</v>
      </c>
      <c r="AW29" s="267">
        <f t="shared" si="9"/>
        <v>-838</v>
      </c>
      <c r="AX29" s="24"/>
      <c r="AY29" s="25"/>
      <c r="AZ29" s="11">
        <f t="shared" si="10"/>
        <v>-2656</v>
      </c>
      <c r="BA29" s="267">
        <f t="shared" si="11"/>
        <v>-838</v>
      </c>
    </row>
    <row r="30" spans="1:53" x14ac:dyDescent="0.3">
      <c r="A30" s="1040" t="s">
        <v>379</v>
      </c>
      <c r="B30" s="971"/>
      <c r="C30" s="52"/>
      <c r="D30" s="18"/>
      <c r="E30" s="19"/>
      <c r="F30" s="16"/>
      <c r="G30" s="19"/>
      <c r="H30" s="16"/>
      <c r="I30" s="19"/>
      <c r="J30" s="16"/>
      <c r="K30" s="19"/>
      <c r="L30" s="16"/>
      <c r="M30" s="19"/>
      <c r="N30" s="16"/>
      <c r="O30" s="19"/>
      <c r="P30" s="16"/>
      <c r="Q30" s="19"/>
      <c r="R30" s="16"/>
      <c r="S30" s="19"/>
      <c r="T30" s="16"/>
      <c r="U30" s="19"/>
      <c r="V30" s="16"/>
      <c r="W30" s="19"/>
      <c r="X30" s="18">
        <v>-8627</v>
      </c>
      <c r="Y30" s="19">
        <v>-3642</v>
      </c>
      <c r="Z30" s="20"/>
      <c r="AA30" s="21"/>
      <c r="AB30" s="16"/>
      <c r="AC30" s="19"/>
      <c r="AD30" s="16">
        <v>3717</v>
      </c>
      <c r="AE30" s="19">
        <v>3633</v>
      </c>
      <c r="AF30" s="16"/>
      <c r="AG30" s="19"/>
      <c r="AH30" s="16"/>
      <c r="AI30" s="19"/>
      <c r="AJ30" s="16"/>
      <c r="AK30" s="19"/>
      <c r="AL30" s="16"/>
      <c r="AM30" s="19"/>
      <c r="AN30" s="240">
        <v>3787</v>
      </c>
      <c r="AO30" s="244">
        <v>5476</v>
      </c>
      <c r="AP30" s="22"/>
      <c r="AQ30" s="23"/>
      <c r="AR30" s="24"/>
      <c r="AS30" s="25"/>
      <c r="AT30" s="16"/>
      <c r="AU30" s="19"/>
      <c r="AV30" s="11">
        <f t="shared" si="8"/>
        <v>-1123</v>
      </c>
      <c r="AW30" s="267">
        <f t="shared" si="9"/>
        <v>5467</v>
      </c>
      <c r="AX30" s="24"/>
      <c r="AY30" s="25"/>
      <c r="AZ30" s="11">
        <f t="shared" si="10"/>
        <v>-1123</v>
      </c>
      <c r="BA30" s="267">
        <f t="shared" si="11"/>
        <v>5467</v>
      </c>
    </row>
    <row r="31" spans="1:53" s="602" customFormat="1" x14ac:dyDescent="0.3">
      <c r="A31" s="1042" t="s">
        <v>378</v>
      </c>
      <c r="B31" s="11">
        <v>13849</v>
      </c>
      <c r="C31" s="13">
        <v>12684</v>
      </c>
      <c r="D31" s="29">
        <v>-11107</v>
      </c>
      <c r="E31" s="30">
        <f>E27</f>
        <v>-8840</v>
      </c>
      <c r="F31" s="28">
        <v>-11843</v>
      </c>
      <c r="G31" s="30">
        <f>G27</f>
        <v>-8592</v>
      </c>
      <c r="H31" s="28">
        <v>38958</v>
      </c>
      <c r="I31" s="30">
        <v>32441</v>
      </c>
      <c r="J31" s="29">
        <v>-20308</v>
      </c>
      <c r="K31" s="296">
        <v>-34248</v>
      </c>
      <c r="L31" s="28">
        <v>9119</v>
      </c>
      <c r="M31" s="28">
        <v>1024</v>
      </c>
      <c r="N31" s="28">
        <v>3051</v>
      </c>
      <c r="O31" s="30">
        <v>-500</v>
      </c>
      <c r="P31" s="28">
        <v>-19814</v>
      </c>
      <c r="Q31" s="30">
        <f>Q27</f>
        <v>-22528</v>
      </c>
      <c r="R31" s="28"/>
      <c r="S31" s="30">
        <v>1161</v>
      </c>
      <c r="T31" s="28">
        <v>-19711</v>
      </c>
      <c r="U31" s="30">
        <f>U27</f>
        <v>-18393</v>
      </c>
      <c r="V31" s="28">
        <v>135557</v>
      </c>
      <c r="W31" s="30">
        <v>120769</v>
      </c>
      <c r="X31" s="29">
        <v>81349</v>
      </c>
      <c r="Y31" s="30">
        <v>75921</v>
      </c>
      <c r="Z31" s="603">
        <v>11435</v>
      </c>
      <c r="AA31" s="838">
        <v>9434</v>
      </c>
      <c r="AB31" s="28">
        <v>7624</v>
      </c>
      <c r="AC31" s="30">
        <v>-28161</v>
      </c>
      <c r="AD31" s="28">
        <v>1053331</v>
      </c>
      <c r="AE31" s="30">
        <v>42539</v>
      </c>
      <c r="AF31" s="16">
        <v>43520</v>
      </c>
      <c r="AG31" s="19">
        <v>38666</v>
      </c>
      <c r="AH31" s="28">
        <v>11219</v>
      </c>
      <c r="AI31" s="30">
        <v>-7104</v>
      </c>
      <c r="AJ31" s="28">
        <v>10771</v>
      </c>
      <c r="AK31" s="30">
        <v>6521</v>
      </c>
      <c r="AL31" s="28"/>
      <c r="AM31" s="30"/>
      <c r="AN31" s="242">
        <v>172057</v>
      </c>
      <c r="AO31" s="246">
        <v>150076</v>
      </c>
      <c r="AP31" s="605">
        <v>15599</v>
      </c>
      <c r="AQ31" s="606">
        <v>254</v>
      </c>
      <c r="AR31" s="839">
        <v>12726</v>
      </c>
      <c r="AS31" s="840">
        <v>2280</v>
      </c>
      <c r="AT31" s="28">
        <v>50552</v>
      </c>
      <c r="AU31" s="30">
        <v>7072</v>
      </c>
      <c r="AV31" s="11">
        <f t="shared" si="8"/>
        <v>1587934</v>
      </c>
      <c r="AW31" s="837">
        <f t="shared" si="9"/>
        <v>372476</v>
      </c>
      <c r="AX31" s="26">
        <v>3639738</v>
      </c>
      <c r="AY31" s="27">
        <v>404312</v>
      </c>
      <c r="AZ31" s="11">
        <f t="shared" si="10"/>
        <v>5227672</v>
      </c>
      <c r="BA31" s="837">
        <f t="shared" si="11"/>
        <v>776788</v>
      </c>
    </row>
    <row r="32" spans="1:53" x14ac:dyDescent="0.3">
      <c r="A32" s="1043" t="s">
        <v>141</v>
      </c>
      <c r="B32" s="11"/>
      <c r="C32" s="13"/>
      <c r="D32" s="29"/>
      <c r="E32" s="30"/>
      <c r="F32" s="28"/>
      <c r="G32" s="30"/>
      <c r="H32" s="28"/>
      <c r="I32" s="30"/>
      <c r="J32" s="28"/>
      <c r="K32" s="30"/>
      <c r="L32" s="28"/>
      <c r="M32" s="30"/>
      <c r="N32" s="28"/>
      <c r="O32" s="30"/>
      <c r="P32" s="251"/>
      <c r="Q32" s="30"/>
      <c r="R32" s="28"/>
      <c r="S32" s="30"/>
      <c r="T32" s="28"/>
      <c r="U32" s="30"/>
      <c r="V32" s="28"/>
      <c r="W32" s="30"/>
      <c r="X32" s="29"/>
      <c r="Y32" s="30"/>
      <c r="Z32" s="20"/>
      <c r="AA32" s="21"/>
      <c r="AB32" s="28"/>
      <c r="AC32" s="30"/>
      <c r="AD32" s="31"/>
      <c r="AE32" s="32"/>
      <c r="AF32" s="28"/>
      <c r="AG32" s="30"/>
      <c r="AH32" s="28"/>
      <c r="AI32" s="30"/>
      <c r="AJ32" s="28"/>
      <c r="AK32" s="30"/>
      <c r="AL32" s="16"/>
      <c r="AM32" s="19"/>
      <c r="AN32" s="239"/>
      <c r="AO32" s="243"/>
      <c r="AP32" s="22"/>
      <c r="AQ32" s="23"/>
      <c r="AR32" s="24"/>
      <c r="AS32" s="25"/>
      <c r="AT32" s="28"/>
      <c r="AU32" s="30"/>
      <c r="AV32" s="11">
        <f t="shared" si="8"/>
        <v>0</v>
      </c>
      <c r="AW32" s="267">
        <f t="shared" si="9"/>
        <v>0</v>
      </c>
      <c r="AX32" s="28"/>
      <c r="AY32" s="30"/>
      <c r="AZ32" s="11">
        <f t="shared" si="10"/>
        <v>0</v>
      </c>
      <c r="BA32" s="267">
        <f t="shared" si="11"/>
        <v>0</v>
      </c>
    </row>
    <row r="33" spans="1:53" ht="28.5" x14ac:dyDescent="0.3">
      <c r="A33" s="1040" t="s">
        <v>142</v>
      </c>
      <c r="B33" s="971">
        <v>17477</v>
      </c>
      <c r="C33" s="52">
        <v>8293</v>
      </c>
      <c r="D33" s="18">
        <v>-79251</v>
      </c>
      <c r="E33" s="19">
        <v>-70411</v>
      </c>
      <c r="F33" s="16">
        <v>-147533</v>
      </c>
      <c r="G33" s="19">
        <v>-138941</v>
      </c>
      <c r="H33" s="16">
        <v>926351</v>
      </c>
      <c r="I33" s="19">
        <v>907624</v>
      </c>
      <c r="J33" s="16">
        <v>-320383</v>
      </c>
      <c r="K33" s="19">
        <v>-286150</v>
      </c>
      <c r="L33" s="16">
        <v>21537</v>
      </c>
      <c r="M33" s="19">
        <v>20513</v>
      </c>
      <c r="N33" s="16">
        <v>-24001</v>
      </c>
      <c r="O33" s="19">
        <v>-20450</v>
      </c>
      <c r="P33" s="28">
        <v>-185192</v>
      </c>
      <c r="Q33" s="19">
        <v>-162899</v>
      </c>
      <c r="R33" s="16"/>
      <c r="S33" s="19">
        <v>-64297</v>
      </c>
      <c r="T33" s="16">
        <v>-216111</v>
      </c>
      <c r="U33" s="19">
        <v>-197717</v>
      </c>
      <c r="V33" s="16">
        <v>609725</v>
      </c>
      <c r="W33" s="19">
        <v>592939</v>
      </c>
      <c r="X33" s="18">
        <v>407252</v>
      </c>
      <c r="Y33" s="19">
        <v>360062</v>
      </c>
      <c r="Z33" s="24">
        <v>22895</v>
      </c>
      <c r="AA33" s="25">
        <v>23861</v>
      </c>
      <c r="AB33" s="16">
        <v>-45071</v>
      </c>
      <c r="AC33" s="19">
        <v>-16909</v>
      </c>
      <c r="AD33" s="16">
        <v>382688</v>
      </c>
      <c r="AE33" s="19">
        <v>348314</v>
      </c>
      <c r="AF33" s="16">
        <v>104193</v>
      </c>
      <c r="AG33" s="19">
        <v>84173</v>
      </c>
      <c r="AH33" s="16">
        <v>-67171</v>
      </c>
      <c r="AI33" s="19">
        <v>-60067</v>
      </c>
      <c r="AJ33" s="16">
        <v>-8185</v>
      </c>
      <c r="AK33" s="19">
        <v>-14707</v>
      </c>
      <c r="AL33" s="16"/>
      <c r="AM33" s="19"/>
      <c r="AN33" s="240">
        <v>1039408</v>
      </c>
      <c r="AO33" s="244">
        <v>908816</v>
      </c>
      <c r="AP33" s="22">
        <v>50491</v>
      </c>
      <c r="AQ33" s="23">
        <v>54668</v>
      </c>
      <c r="AR33" s="24">
        <v>19388</v>
      </c>
      <c r="AS33" s="25">
        <v>19342</v>
      </c>
      <c r="AT33" s="16">
        <v>20319</v>
      </c>
      <c r="AU33" s="19">
        <v>18127</v>
      </c>
      <c r="AV33" s="11">
        <f t="shared" si="8"/>
        <v>2528826</v>
      </c>
      <c r="AW33" s="267">
        <f t="shared" si="9"/>
        <v>2314184</v>
      </c>
      <c r="AX33" s="16">
        <v>401433</v>
      </c>
      <c r="AY33" s="19"/>
      <c r="AZ33" s="11">
        <f t="shared" si="10"/>
        <v>2930259</v>
      </c>
      <c r="BA33" s="267">
        <f t="shared" si="11"/>
        <v>2314184</v>
      </c>
    </row>
    <row r="34" spans="1:53" ht="28.5" x14ac:dyDescent="0.3">
      <c r="A34" s="1044" t="s">
        <v>434</v>
      </c>
      <c r="B34" s="971"/>
      <c r="C34" s="52"/>
      <c r="D34" s="18"/>
      <c r="E34" s="19"/>
      <c r="F34" s="16"/>
      <c r="G34" s="19"/>
      <c r="H34" s="16">
        <v>31498</v>
      </c>
      <c r="I34" s="19">
        <v>13715</v>
      </c>
      <c r="J34" s="16"/>
      <c r="K34" s="19"/>
      <c r="L34" s="16">
        <v>2850</v>
      </c>
      <c r="M34" s="19"/>
      <c r="N34" s="16"/>
      <c r="O34" s="19"/>
      <c r="P34" s="16"/>
      <c r="Q34" s="19"/>
      <c r="R34" s="16"/>
      <c r="S34" s="19"/>
      <c r="T34" s="16"/>
      <c r="U34" s="19"/>
      <c r="V34" s="16">
        <v>456</v>
      </c>
      <c r="W34" s="19"/>
      <c r="X34" s="18">
        <v>7906</v>
      </c>
      <c r="Y34" s="19">
        <v>38731</v>
      </c>
      <c r="Z34" s="24">
        <v>-2800</v>
      </c>
      <c r="AA34" s="25">
        <v>-10400</v>
      </c>
      <c r="AB34" s="16"/>
      <c r="AC34" s="19"/>
      <c r="AD34" s="16"/>
      <c r="AE34" s="19"/>
      <c r="AF34" s="16"/>
      <c r="AG34" s="19"/>
      <c r="AH34" s="16"/>
      <c r="AI34" s="19"/>
      <c r="AJ34" s="16"/>
      <c r="AK34" s="19"/>
      <c r="AL34" s="16"/>
      <c r="AM34" s="19"/>
      <c r="AN34" s="241">
        <v>25022</v>
      </c>
      <c r="AO34" s="245">
        <v>20007</v>
      </c>
      <c r="AP34" s="22">
        <v>5381</v>
      </c>
      <c r="AQ34" s="23">
        <v>4430</v>
      </c>
      <c r="AR34" s="24">
        <v>129</v>
      </c>
      <c r="AS34" s="25">
        <v>984</v>
      </c>
      <c r="AT34" s="16"/>
      <c r="AU34" s="19"/>
      <c r="AV34" s="11">
        <f t="shared" si="8"/>
        <v>70442</v>
      </c>
      <c r="AW34" s="1210">
        <f t="shared" si="9"/>
        <v>67467</v>
      </c>
      <c r="AX34" s="16"/>
      <c r="AY34" s="19"/>
      <c r="AZ34" s="11">
        <f t="shared" si="10"/>
        <v>70442</v>
      </c>
      <c r="BA34" s="267">
        <f t="shared" si="11"/>
        <v>67467</v>
      </c>
    </row>
    <row r="35" spans="1:53" x14ac:dyDescent="0.3">
      <c r="A35" s="1044" t="s">
        <v>143</v>
      </c>
      <c r="B35" s="971"/>
      <c r="C35" s="52"/>
      <c r="D35" s="18"/>
      <c r="E35" s="19"/>
      <c r="F35" s="16"/>
      <c r="G35" s="19"/>
      <c r="H35" s="16"/>
      <c r="I35" s="19"/>
      <c r="J35" s="16"/>
      <c r="K35" s="19"/>
      <c r="L35" s="16"/>
      <c r="M35" s="19"/>
      <c r="N35" s="16"/>
      <c r="O35" s="19"/>
      <c r="P35" s="16"/>
      <c r="Q35" s="19"/>
      <c r="R35" s="16"/>
      <c r="S35" s="19"/>
      <c r="T35" s="16"/>
      <c r="U35" s="19"/>
      <c r="V35" s="16">
        <v>-35922</v>
      </c>
      <c r="W35" s="19">
        <v>-40847</v>
      </c>
      <c r="X35" s="18"/>
      <c r="Y35" s="19"/>
      <c r="Z35" s="24"/>
      <c r="AA35" s="25"/>
      <c r="AB35" s="16"/>
      <c r="AC35" s="19"/>
      <c r="AD35" s="16">
        <v>11482</v>
      </c>
      <c r="AE35" s="19">
        <v>8165</v>
      </c>
      <c r="AF35" s="16"/>
      <c r="AG35" s="19">
        <v>17653</v>
      </c>
      <c r="AH35" s="16"/>
      <c r="AI35" s="19"/>
      <c r="AJ35" s="16"/>
      <c r="AK35" s="19"/>
      <c r="AL35" s="16"/>
      <c r="AM35" s="19"/>
      <c r="AN35" s="241"/>
      <c r="AO35" s="245"/>
      <c r="AP35" s="22"/>
      <c r="AQ35" s="23"/>
      <c r="AR35" s="24"/>
      <c r="AS35" s="25"/>
      <c r="AT35" s="16"/>
      <c r="AU35" s="19"/>
      <c r="AV35" s="11">
        <f t="shared" si="8"/>
        <v>-24440</v>
      </c>
      <c r="AW35" s="267">
        <f t="shared" si="9"/>
        <v>-15029</v>
      </c>
      <c r="AX35" s="16">
        <v>94874</v>
      </c>
      <c r="AY35" s="19"/>
      <c r="AZ35" s="11">
        <f t="shared" si="10"/>
        <v>70434</v>
      </c>
      <c r="BA35" s="267">
        <f t="shared" si="11"/>
        <v>-15029</v>
      </c>
    </row>
    <row r="36" spans="1:53" x14ac:dyDescent="0.3">
      <c r="A36" s="1040" t="s">
        <v>144</v>
      </c>
      <c r="B36" s="971"/>
      <c r="C36" s="52"/>
      <c r="D36" s="18"/>
      <c r="E36" s="19"/>
      <c r="F36" s="16"/>
      <c r="G36" s="19"/>
      <c r="H36" s="16"/>
      <c r="I36" s="19"/>
      <c r="J36" s="16"/>
      <c r="K36" s="19"/>
      <c r="L36" s="16"/>
      <c r="M36" s="19"/>
      <c r="N36" s="16"/>
      <c r="O36" s="19"/>
      <c r="P36" s="16"/>
      <c r="Q36" s="19"/>
      <c r="R36" s="16"/>
      <c r="S36" s="19"/>
      <c r="T36" s="16"/>
      <c r="U36" s="19"/>
      <c r="V36" s="16"/>
      <c r="W36" s="19"/>
      <c r="X36" s="18"/>
      <c r="Y36" s="19"/>
      <c r="Z36" s="24"/>
      <c r="AA36" s="25"/>
      <c r="AB36" s="16"/>
      <c r="AC36" s="19"/>
      <c r="AD36" s="16"/>
      <c r="AE36" s="19"/>
      <c r="AF36" s="16"/>
      <c r="AG36" s="19"/>
      <c r="AH36" s="16"/>
      <c r="AI36" s="19"/>
      <c r="AJ36" s="16"/>
      <c r="AK36" s="19"/>
      <c r="AL36" s="16"/>
      <c r="AM36" s="19"/>
      <c r="AN36" s="241"/>
      <c r="AO36" s="245"/>
      <c r="AP36" s="22"/>
      <c r="AQ36" s="23"/>
      <c r="AR36" s="24"/>
      <c r="AS36" s="25"/>
      <c r="AT36" s="16"/>
      <c r="AU36" s="19"/>
      <c r="AV36" s="11">
        <f t="shared" si="8"/>
        <v>0</v>
      </c>
      <c r="AW36" s="267">
        <f t="shared" si="9"/>
        <v>0</v>
      </c>
      <c r="AX36" s="16"/>
      <c r="AY36" s="19"/>
      <c r="AZ36" s="11">
        <f t="shared" si="10"/>
        <v>0</v>
      </c>
      <c r="BA36" s="267">
        <f t="shared" si="11"/>
        <v>0</v>
      </c>
    </row>
    <row r="37" spans="1:53" ht="28.5" x14ac:dyDescent="0.3">
      <c r="A37" s="1040" t="s">
        <v>145</v>
      </c>
      <c r="B37" s="11"/>
      <c r="C37" s="13"/>
      <c r="D37" s="1047"/>
      <c r="E37" s="32"/>
      <c r="F37" s="31"/>
      <c r="G37" s="32"/>
      <c r="H37" s="31"/>
      <c r="I37" s="32"/>
      <c r="J37" s="31">
        <v>9</v>
      </c>
      <c r="K37" s="32">
        <v>15</v>
      </c>
      <c r="L37" s="31"/>
      <c r="M37" s="32"/>
      <c r="N37" s="31"/>
      <c r="O37" s="32"/>
      <c r="P37" s="31">
        <v>98</v>
      </c>
      <c r="Q37" s="32">
        <v>235</v>
      </c>
      <c r="R37" s="31"/>
      <c r="S37" s="32"/>
      <c r="T37" s="31"/>
      <c r="U37" s="32"/>
      <c r="V37" s="31"/>
      <c r="W37" s="32"/>
      <c r="X37" s="29"/>
      <c r="Y37" s="32"/>
      <c r="Z37" s="186"/>
      <c r="AA37" s="195"/>
      <c r="AB37" s="31">
        <v>1000</v>
      </c>
      <c r="AC37" s="32"/>
      <c r="AD37" s="31"/>
      <c r="AE37" s="32"/>
      <c r="AF37" s="31">
        <v>992</v>
      </c>
      <c r="AG37" s="32">
        <v>992</v>
      </c>
      <c r="AH37" s="31"/>
      <c r="AI37" s="32"/>
      <c r="AJ37" s="31"/>
      <c r="AK37" s="32"/>
      <c r="AL37" s="187"/>
      <c r="AM37" s="271"/>
      <c r="AN37" s="241"/>
      <c r="AO37" s="245"/>
      <c r="AP37" s="188"/>
      <c r="AQ37" s="247"/>
      <c r="AR37" s="189"/>
      <c r="AS37" s="249">
        <v>1250</v>
      </c>
      <c r="AT37" s="31"/>
      <c r="AU37" s="32"/>
      <c r="AV37" s="11">
        <f t="shared" si="8"/>
        <v>2099</v>
      </c>
      <c r="AW37" s="267">
        <f t="shared" si="9"/>
        <v>2492</v>
      </c>
      <c r="AX37" s="31"/>
      <c r="AY37" s="32">
        <v>2878</v>
      </c>
      <c r="AZ37" s="11">
        <f t="shared" si="10"/>
        <v>2099</v>
      </c>
      <c r="BA37" s="267">
        <f t="shared" si="11"/>
        <v>5370</v>
      </c>
    </row>
    <row r="38" spans="1:53" ht="28.5" x14ac:dyDescent="0.3">
      <c r="A38" s="1045" t="s">
        <v>296</v>
      </c>
      <c r="B38" s="11"/>
      <c r="C38" s="13"/>
      <c r="D38" s="1048"/>
      <c r="E38" s="558"/>
      <c r="F38" s="557"/>
      <c r="G38" s="558"/>
      <c r="H38" s="557"/>
      <c r="I38" s="558"/>
      <c r="J38" s="557"/>
      <c r="K38" s="558"/>
      <c r="L38" s="557"/>
      <c r="M38" s="558"/>
      <c r="N38" s="557"/>
      <c r="O38" s="558"/>
      <c r="P38" s="557"/>
      <c r="Q38" s="558"/>
      <c r="R38" s="557"/>
      <c r="S38" s="558"/>
      <c r="T38" s="557"/>
      <c r="U38" s="558"/>
      <c r="V38" s="557"/>
      <c r="W38" s="558"/>
      <c r="X38" s="556"/>
      <c r="Y38" s="558"/>
      <c r="Z38" s="559"/>
      <c r="AA38" s="560"/>
      <c r="AB38" s="557"/>
      <c r="AC38" s="558"/>
      <c r="AD38" s="557"/>
      <c r="AE38" s="558"/>
      <c r="AF38" s="557"/>
      <c r="AG38" s="558"/>
      <c r="AH38" s="557"/>
      <c r="AI38" s="558"/>
      <c r="AJ38" s="557"/>
      <c r="AK38" s="558"/>
      <c r="AL38" s="561"/>
      <c r="AM38" s="562"/>
      <c r="AN38" s="563"/>
      <c r="AO38" s="564"/>
      <c r="AP38" s="565"/>
      <c r="AQ38" s="566"/>
      <c r="AR38" s="567"/>
      <c r="AS38" s="568"/>
      <c r="AT38" s="557"/>
      <c r="AU38" s="558"/>
      <c r="AV38" s="554"/>
      <c r="AW38" s="570"/>
      <c r="AX38" s="557"/>
      <c r="AY38" s="558"/>
      <c r="AZ38" s="569"/>
      <c r="BA38" s="555"/>
    </row>
    <row r="39" spans="1:53" x14ac:dyDescent="0.3">
      <c r="A39" s="1045" t="s">
        <v>384</v>
      </c>
      <c r="B39" s="11"/>
      <c r="C39" s="13">
        <v>3500</v>
      </c>
      <c r="D39" s="1048"/>
      <c r="E39" s="558"/>
      <c r="F39" s="557"/>
      <c r="G39" s="558"/>
      <c r="H39" s="557"/>
      <c r="I39" s="558"/>
      <c r="J39" s="557"/>
      <c r="K39" s="558"/>
      <c r="L39" s="557"/>
      <c r="M39" s="558"/>
      <c r="N39" s="557"/>
      <c r="O39" s="558"/>
      <c r="P39" s="557"/>
      <c r="Q39" s="558"/>
      <c r="R39" s="557"/>
      <c r="S39" s="558"/>
      <c r="T39" s="557"/>
      <c r="U39" s="558"/>
      <c r="V39" s="557"/>
      <c r="W39" s="558"/>
      <c r="X39" s="556"/>
      <c r="Y39" s="558"/>
      <c r="Z39" s="559"/>
      <c r="AA39" s="560"/>
      <c r="AB39" s="557"/>
      <c r="AC39" s="558"/>
      <c r="AD39" s="557"/>
      <c r="AE39" s="558"/>
      <c r="AF39" s="557"/>
      <c r="AG39" s="558"/>
      <c r="AH39" s="557"/>
      <c r="AI39" s="558"/>
      <c r="AJ39" s="557"/>
      <c r="AK39" s="558"/>
      <c r="AL39" s="561"/>
      <c r="AM39" s="562"/>
      <c r="AN39" s="563"/>
      <c r="AO39" s="564"/>
      <c r="AP39" s="565"/>
      <c r="AQ39" s="566"/>
      <c r="AR39" s="567"/>
      <c r="AS39" s="568"/>
      <c r="AT39" s="557">
        <v>4880</v>
      </c>
      <c r="AU39" s="558">
        <v>4880</v>
      </c>
      <c r="AV39" s="554"/>
      <c r="AW39" s="570"/>
      <c r="AX39" s="557"/>
      <c r="AY39" s="558"/>
      <c r="AZ39" s="569"/>
      <c r="BA39" s="555"/>
    </row>
    <row r="40" spans="1:53" s="405" customFormat="1" ht="27.75" thickBot="1" x14ac:dyDescent="0.3">
      <c r="A40" s="1046" t="s">
        <v>146</v>
      </c>
      <c r="B40" s="1052">
        <v>31326</v>
      </c>
      <c r="C40" s="401">
        <v>17477</v>
      </c>
      <c r="D40" s="402">
        <v>-90358</v>
      </c>
      <c r="E40" s="401">
        <f>E31+E33</f>
        <v>-79251</v>
      </c>
      <c r="F40" s="400">
        <v>-159376</v>
      </c>
      <c r="G40" s="401">
        <f>G31+G33</f>
        <v>-147533</v>
      </c>
      <c r="H40" s="400">
        <v>933811</v>
      </c>
      <c r="I40" s="401">
        <v>926350</v>
      </c>
      <c r="J40" s="400">
        <v>-340682</v>
      </c>
      <c r="K40" s="401">
        <f t="shared" ref="K40:U40" si="12">K31+K33</f>
        <v>-320398</v>
      </c>
      <c r="L40" s="400">
        <v>27806</v>
      </c>
      <c r="M40" s="401">
        <f t="shared" si="12"/>
        <v>21537</v>
      </c>
      <c r="N40" s="400">
        <v>-20950</v>
      </c>
      <c r="O40" s="401">
        <v>-20950</v>
      </c>
      <c r="P40" s="400">
        <v>-204908</v>
      </c>
      <c r="Q40" s="401">
        <f t="shared" si="12"/>
        <v>-185427</v>
      </c>
      <c r="R40" s="400"/>
      <c r="S40" s="401">
        <f t="shared" si="12"/>
        <v>-63136</v>
      </c>
      <c r="T40" s="400">
        <v>-235822</v>
      </c>
      <c r="U40" s="401">
        <f t="shared" si="12"/>
        <v>-216110</v>
      </c>
      <c r="V40" s="400">
        <v>709922</v>
      </c>
      <c r="W40" s="401">
        <v>672861</v>
      </c>
      <c r="X40" s="402">
        <v>480695</v>
      </c>
      <c r="Y40" s="401">
        <v>407252</v>
      </c>
      <c r="Z40" s="400">
        <v>31530</v>
      </c>
      <c r="AA40" s="401">
        <v>22895</v>
      </c>
      <c r="AB40" s="400">
        <v>-36446</v>
      </c>
      <c r="AC40" s="401">
        <v>-45071</v>
      </c>
      <c r="AD40" s="400">
        <v>476537</v>
      </c>
      <c r="AE40" s="401">
        <f>AE31+AE33-AE35</f>
        <v>382688</v>
      </c>
      <c r="AF40" s="400">
        <v>146721</v>
      </c>
      <c r="AG40" s="401">
        <v>104193</v>
      </c>
      <c r="AH40" s="400">
        <v>55952</v>
      </c>
      <c r="AI40" s="401">
        <f t="shared" ref="AI40:AM40" si="13">AI31+AI33</f>
        <v>-67171</v>
      </c>
      <c r="AJ40" s="400">
        <v>2586</v>
      </c>
      <c r="AK40" s="401">
        <f t="shared" si="13"/>
        <v>-8186</v>
      </c>
      <c r="AL40" s="400">
        <f t="shared" si="13"/>
        <v>0</v>
      </c>
      <c r="AM40" s="401">
        <f t="shared" si="13"/>
        <v>0</v>
      </c>
      <c r="AN40" s="400">
        <v>1186443</v>
      </c>
      <c r="AO40" s="401">
        <v>1039408</v>
      </c>
      <c r="AP40" s="401">
        <v>60710</v>
      </c>
      <c r="AQ40" s="401">
        <v>50491</v>
      </c>
      <c r="AR40" s="400">
        <v>31984</v>
      </c>
      <c r="AS40" s="401">
        <v>19388</v>
      </c>
      <c r="AT40" s="400">
        <v>65991</v>
      </c>
      <c r="AU40" s="401">
        <v>20319</v>
      </c>
      <c r="AV40" s="403">
        <f>SUM(B40+D40+F40+H40+J40+L40+N40+P40+R40+T40+V40+X40+Z40+AB40+AD40+AF40+AH40+AJ40+AL40+AN40+AP40+AR40+AT40)</f>
        <v>3153472</v>
      </c>
      <c r="AW40" s="404">
        <f>SUM(C40+E40+G40+I40+K40+M40+O40+Q40+S40+U40+W40+Y40+AA40+AC40+AE40+AG40+AI40+AK40+AM40+AO40+AQ40+AS40+AU40)</f>
        <v>2531626</v>
      </c>
      <c r="AX40" s="400">
        <v>3946297</v>
      </c>
      <c r="AY40" s="401">
        <v>401433</v>
      </c>
      <c r="AZ40" s="400">
        <f>AZ31+AZ33</f>
        <v>8157931</v>
      </c>
      <c r="BA40" s="401">
        <f>BA31+BA33</f>
        <v>3090972</v>
      </c>
    </row>
    <row r="41" spans="1:53" s="51" customFormat="1" ht="28.5" x14ac:dyDescent="0.3">
      <c r="A41" s="1050" t="s">
        <v>147</v>
      </c>
      <c r="B41" s="284"/>
      <c r="C41" s="257"/>
      <c r="D41" s="274"/>
      <c r="E41" s="583"/>
      <c r="F41" s="284"/>
      <c r="G41" s="257"/>
      <c r="H41" s="274"/>
      <c r="I41" s="583"/>
      <c r="J41" s="256"/>
      <c r="K41" s="257"/>
      <c r="L41" s="256"/>
      <c r="M41" s="257"/>
      <c r="N41" s="256"/>
      <c r="O41" s="257"/>
      <c r="P41" s="272"/>
      <c r="Q41" s="273"/>
      <c r="R41" s="256"/>
      <c r="S41" s="257"/>
      <c r="T41" s="256"/>
      <c r="U41" s="257"/>
      <c r="V41" s="256"/>
      <c r="W41" s="257"/>
      <c r="X41" s="274"/>
      <c r="Y41" s="257"/>
      <c r="Z41" s="275"/>
      <c r="AA41" s="276"/>
      <c r="AB41" s="256"/>
      <c r="AC41" s="257"/>
      <c r="AD41" s="256"/>
      <c r="AE41" s="257"/>
      <c r="AF41" s="256"/>
      <c r="AG41" s="257"/>
      <c r="AH41" s="256"/>
      <c r="AI41" s="257"/>
      <c r="AJ41" s="256"/>
      <c r="AK41" s="257"/>
      <c r="AL41" s="256"/>
      <c r="AM41" s="257"/>
      <c r="AN41" s="277"/>
      <c r="AO41" s="278"/>
      <c r="AP41" s="279"/>
      <c r="AQ41" s="280"/>
      <c r="AR41" s="281"/>
      <c r="AS41" s="282"/>
      <c r="AT41" s="256"/>
      <c r="AU41" s="257"/>
      <c r="AV41" s="255"/>
      <c r="AW41" s="283"/>
      <c r="AX41" s="256"/>
      <c r="AY41" s="257"/>
      <c r="AZ41" s="256"/>
      <c r="BA41" s="257"/>
    </row>
    <row r="42" spans="1:53" x14ac:dyDescent="0.3">
      <c r="A42" s="1040" t="s">
        <v>148</v>
      </c>
      <c r="B42" s="971"/>
      <c r="C42" s="52"/>
      <c r="D42" s="18"/>
      <c r="E42" s="17"/>
      <c r="F42" s="806"/>
      <c r="G42" s="19"/>
      <c r="H42" s="18"/>
      <c r="I42" s="17"/>
      <c r="J42" s="16"/>
      <c r="K42" s="19"/>
      <c r="L42" s="16"/>
      <c r="M42" s="19"/>
      <c r="N42" s="16"/>
      <c r="O42" s="19"/>
      <c r="P42" s="16"/>
      <c r="Q42" s="19"/>
      <c r="R42" s="16"/>
      <c r="S42" s="19"/>
      <c r="T42" s="16"/>
      <c r="U42" s="19"/>
      <c r="V42" s="16"/>
      <c r="W42" s="19"/>
      <c r="X42" s="16"/>
      <c r="Y42" s="19"/>
      <c r="Z42" s="20"/>
      <c r="AA42" s="21"/>
      <c r="AB42" s="16"/>
      <c r="AC42" s="19"/>
      <c r="AD42" s="16"/>
      <c r="AE42" s="19"/>
      <c r="AF42" s="16"/>
      <c r="AG42" s="19"/>
      <c r="AH42" s="16"/>
      <c r="AI42" s="19"/>
      <c r="AJ42" s="16"/>
      <c r="AK42" s="19"/>
      <c r="AL42" s="16"/>
      <c r="AM42" s="19"/>
      <c r="AN42" s="239"/>
      <c r="AO42" s="243"/>
      <c r="AP42" s="22"/>
      <c r="AQ42" s="23"/>
      <c r="AR42" s="251"/>
      <c r="AS42" s="252"/>
      <c r="AT42" s="16"/>
      <c r="AU42" s="19"/>
      <c r="AV42" s="28"/>
      <c r="AW42" s="30"/>
      <c r="AX42" s="16"/>
      <c r="AY42" s="19"/>
      <c r="AZ42" s="16"/>
      <c r="BA42" s="19"/>
    </row>
    <row r="43" spans="1:53" x14ac:dyDescent="0.3">
      <c r="A43" s="1044" t="s">
        <v>149</v>
      </c>
      <c r="B43" s="1053"/>
      <c r="C43" s="1054"/>
      <c r="D43" s="18"/>
      <c r="E43" s="17"/>
      <c r="F43" s="1">
        <v>-0.59</v>
      </c>
      <c r="G43" s="3">
        <v>-0.43</v>
      </c>
      <c r="H43" s="18"/>
      <c r="I43" s="17"/>
      <c r="J43" s="2">
        <v>0.56000000000000005</v>
      </c>
      <c r="K43" s="3">
        <v>1.05</v>
      </c>
      <c r="L43" s="16"/>
      <c r="M43" s="19"/>
      <c r="N43" s="2"/>
      <c r="O43" s="3"/>
      <c r="P43" s="2"/>
      <c r="Q43" s="3">
        <v>-5.07</v>
      </c>
      <c r="R43" s="16"/>
      <c r="S43" s="19"/>
      <c r="T43" s="16"/>
      <c r="U43" s="19"/>
      <c r="V43" s="2"/>
      <c r="W43" s="3"/>
      <c r="X43" s="2"/>
      <c r="Y43" s="3"/>
      <c r="Z43" s="4">
        <v>1.43</v>
      </c>
      <c r="AA43" s="5">
        <v>1.18</v>
      </c>
      <c r="AB43" s="2">
        <v>1.05</v>
      </c>
      <c r="AC43" s="3">
        <v>-4.24</v>
      </c>
      <c r="AD43" s="2">
        <v>20.64</v>
      </c>
      <c r="AE43" s="3">
        <v>8.34</v>
      </c>
      <c r="AF43" s="16"/>
      <c r="AG43" s="19"/>
      <c r="AH43" s="16"/>
      <c r="AI43" s="19"/>
      <c r="AJ43" s="16"/>
      <c r="AK43" s="19"/>
      <c r="AL43" s="16"/>
      <c r="AM43" s="19"/>
      <c r="AN43" s="974">
        <v>17.190000000000001</v>
      </c>
      <c r="AO43" s="975">
        <v>15.06</v>
      </c>
      <c r="AP43" s="22"/>
      <c r="AQ43" s="23"/>
      <c r="AR43" s="192"/>
      <c r="AS43" s="250"/>
      <c r="AT43" s="16"/>
      <c r="AU43" s="19"/>
      <c r="AV43" s="28"/>
      <c r="AW43" s="30"/>
      <c r="AX43" s="16"/>
      <c r="AY43" s="19"/>
      <c r="AZ43" s="16"/>
      <c r="BA43" s="19"/>
    </row>
    <row r="44" spans="1:53" ht="15" thickBot="1" x14ac:dyDescent="0.35">
      <c r="A44" s="1051" t="s">
        <v>150</v>
      </c>
      <c r="B44" s="1055"/>
      <c r="C44" s="1056"/>
      <c r="D44" s="805"/>
      <c r="E44" s="584"/>
      <c r="F44" s="1034">
        <v>-0.59</v>
      </c>
      <c r="G44" s="58">
        <v>-0.43</v>
      </c>
      <c r="H44" s="805"/>
      <c r="I44" s="584"/>
      <c r="J44" s="57">
        <v>0.56000000000000005</v>
      </c>
      <c r="K44" s="58">
        <v>1.05</v>
      </c>
      <c r="L44" s="53"/>
      <c r="M44" s="54"/>
      <c r="N44" s="57"/>
      <c r="O44" s="58"/>
      <c r="P44" s="57"/>
      <c r="Q44" s="58">
        <v>-5.07</v>
      </c>
      <c r="R44" s="53"/>
      <c r="S44" s="54"/>
      <c r="T44" s="53"/>
      <c r="U44" s="54"/>
      <c r="V44" s="57"/>
      <c r="W44" s="58"/>
      <c r="X44" s="57"/>
      <c r="Y44" s="58"/>
      <c r="Z44" s="774">
        <v>1.43</v>
      </c>
      <c r="AA44" s="775">
        <v>1.18</v>
      </c>
      <c r="AB44" s="57">
        <v>1.05</v>
      </c>
      <c r="AC44" s="58">
        <v>-4.24</v>
      </c>
      <c r="AD44" s="1031">
        <v>20.64</v>
      </c>
      <c r="AE44" s="1032">
        <v>8.34</v>
      </c>
      <c r="AF44" s="53"/>
      <c r="AG44" s="54"/>
      <c r="AH44" s="53"/>
      <c r="AI44" s="54"/>
      <c r="AJ44" s="53"/>
      <c r="AK44" s="54"/>
      <c r="AL44" s="196"/>
      <c r="AM44" s="197"/>
      <c r="AN44" s="976">
        <v>17.18</v>
      </c>
      <c r="AO44" s="977">
        <v>15.04</v>
      </c>
      <c r="AP44" s="55"/>
      <c r="AQ44" s="56"/>
      <c r="AR44" s="253"/>
      <c r="AS44" s="254"/>
      <c r="AT44" s="53"/>
      <c r="AU44" s="54"/>
      <c r="AV44" s="53"/>
      <c r="AW44" s="54"/>
      <c r="AX44" s="53"/>
      <c r="AY44" s="54"/>
      <c r="AZ44" s="196"/>
      <c r="BA44" s="197"/>
    </row>
  </sheetData>
  <mergeCells count="29">
    <mergeCell ref="X3:Y3"/>
    <mergeCell ref="D3:E3"/>
    <mergeCell ref="F3:G3"/>
    <mergeCell ref="H3:I3"/>
    <mergeCell ref="J3:K3"/>
    <mergeCell ref="L3:M3"/>
    <mergeCell ref="A1:AY1"/>
    <mergeCell ref="A2:AY2"/>
    <mergeCell ref="A3:A4"/>
    <mergeCell ref="AL3:AM3"/>
    <mergeCell ref="B3:C3"/>
    <mergeCell ref="AV3:AW3"/>
    <mergeCell ref="N3:O3"/>
    <mergeCell ref="Z3:AA3"/>
    <mergeCell ref="AB3:AC3"/>
    <mergeCell ref="AD3:AE3"/>
    <mergeCell ref="AF3:AG3"/>
    <mergeCell ref="AH3:AI3"/>
    <mergeCell ref="P3:Q3"/>
    <mergeCell ref="R3:S3"/>
    <mergeCell ref="T3:U3"/>
    <mergeCell ref="V3:W3"/>
    <mergeCell ref="AZ3:BA3"/>
    <mergeCell ref="AX3:AY3"/>
    <mergeCell ref="AJ3:AK3"/>
    <mergeCell ref="AN3:AO3"/>
    <mergeCell ref="AP3:AQ3"/>
    <mergeCell ref="AR3:AS3"/>
    <mergeCell ref="AT3:AU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A71"/>
  <sheetViews>
    <sheetView workbookViewId="0">
      <pane xSplit="1" topLeftCell="B1" activePane="topRight" state="frozen"/>
      <selection pane="topRight" activeCell="E13" sqref="E13"/>
    </sheetView>
  </sheetViews>
  <sheetFormatPr defaultRowHeight="15" x14ac:dyDescent="0.25"/>
  <cols>
    <col min="1" max="1" width="59.28515625" bestFit="1" customWidth="1"/>
    <col min="2" max="4" width="11" bestFit="1" customWidth="1"/>
    <col min="5" max="10" width="12.5703125" bestFit="1" customWidth="1"/>
    <col min="11" max="11" width="11" bestFit="1" customWidth="1"/>
    <col min="12" max="18" width="12.5703125" bestFit="1" customWidth="1"/>
    <col min="19" max="19" width="11" bestFit="1" customWidth="1"/>
    <col min="20" max="21" width="12.5703125" bestFit="1" customWidth="1"/>
    <col min="22" max="22" width="15.5703125" bestFit="1" customWidth="1"/>
    <col min="23" max="23" width="11.5703125" bestFit="1" customWidth="1"/>
    <col min="24" max="24" width="15.5703125" bestFit="1" customWidth="1"/>
    <col min="25" max="27" width="12.5703125" bestFit="1" customWidth="1"/>
    <col min="28" max="28" width="15.5703125" bestFit="1" customWidth="1"/>
    <col min="29" max="33" width="12.5703125" bestFit="1" customWidth="1"/>
    <col min="34" max="34" width="11" bestFit="1" customWidth="1"/>
    <col min="35" max="39" width="12.5703125" bestFit="1" customWidth="1"/>
    <col min="40" max="40" width="15.5703125" bestFit="1" customWidth="1"/>
    <col min="41" max="42" width="12.5703125" bestFit="1" customWidth="1"/>
    <col min="43" max="43" width="11" bestFit="1" customWidth="1"/>
    <col min="44" max="47" width="12.5703125" bestFit="1" customWidth="1"/>
    <col min="48" max="48" width="15.5703125" bestFit="1" customWidth="1"/>
    <col min="49" max="49" width="14.28515625" bestFit="1" customWidth="1"/>
    <col min="50" max="53" width="15.5703125" bestFit="1" customWidth="1"/>
  </cols>
  <sheetData>
    <row r="1" spans="1:53" ht="40.5" customHeight="1" thickBot="1" x14ac:dyDescent="0.5">
      <c r="A1" s="787" t="s">
        <v>425</v>
      </c>
      <c r="B1" s="1370" t="s">
        <v>158</v>
      </c>
      <c r="C1" s="1371"/>
      <c r="D1" s="1378" t="s">
        <v>313</v>
      </c>
      <c r="E1" s="1379"/>
      <c r="F1" s="1378" t="s">
        <v>160</v>
      </c>
      <c r="G1" s="1379"/>
      <c r="H1" s="1378" t="s">
        <v>161</v>
      </c>
      <c r="I1" s="1379"/>
      <c r="J1" s="1378" t="s">
        <v>314</v>
      </c>
      <c r="K1" s="1379"/>
      <c r="L1" s="1378" t="s">
        <v>163</v>
      </c>
      <c r="M1" s="1379"/>
      <c r="N1" s="1378" t="s">
        <v>312</v>
      </c>
      <c r="O1" s="1379"/>
      <c r="P1" s="1378" t="s">
        <v>180</v>
      </c>
      <c r="Q1" s="1379"/>
      <c r="R1" s="1378" t="s">
        <v>315</v>
      </c>
      <c r="S1" s="1379"/>
      <c r="T1" s="1378" t="s">
        <v>316</v>
      </c>
      <c r="U1" s="1379"/>
      <c r="V1" s="1378" t="s">
        <v>317</v>
      </c>
      <c r="W1" s="1379"/>
      <c r="X1" s="1378" t="s">
        <v>318</v>
      </c>
      <c r="Y1" s="1379"/>
      <c r="Z1" s="1378" t="s">
        <v>382</v>
      </c>
      <c r="AA1" s="1379"/>
      <c r="AB1" s="1378" t="s">
        <v>169</v>
      </c>
      <c r="AC1" s="1379"/>
      <c r="AD1" s="1378" t="s">
        <v>170</v>
      </c>
      <c r="AE1" s="1379"/>
      <c r="AF1" s="1378" t="s">
        <v>171</v>
      </c>
      <c r="AG1" s="1379"/>
      <c r="AH1" s="1378" t="s">
        <v>311</v>
      </c>
      <c r="AI1" s="1379"/>
      <c r="AJ1" s="1378" t="s">
        <v>173</v>
      </c>
      <c r="AK1" s="1379"/>
      <c r="AL1" s="1378" t="s">
        <v>174</v>
      </c>
      <c r="AM1" s="1379"/>
      <c r="AN1" s="1378" t="s">
        <v>175</v>
      </c>
      <c r="AO1" s="1379"/>
      <c r="AP1" s="1378" t="s">
        <v>176</v>
      </c>
      <c r="AQ1" s="1379"/>
      <c r="AR1" s="1378" t="s">
        <v>319</v>
      </c>
      <c r="AS1" s="1379"/>
      <c r="AT1" s="1378" t="s">
        <v>178</v>
      </c>
      <c r="AU1" s="1380"/>
      <c r="AV1" s="1383" t="s">
        <v>1</v>
      </c>
      <c r="AW1" s="1384"/>
      <c r="AX1" s="1380" t="s">
        <v>179</v>
      </c>
      <c r="AY1" s="1379"/>
      <c r="AZ1" s="1381" t="s">
        <v>2</v>
      </c>
      <c r="BA1" s="1382"/>
    </row>
    <row r="2" spans="1:53" ht="41.25" thickBot="1" x14ac:dyDescent="0.4">
      <c r="A2" s="788" t="s">
        <v>0</v>
      </c>
      <c r="B2" s="483" t="s">
        <v>438</v>
      </c>
      <c r="C2" s="483" t="s">
        <v>432</v>
      </c>
      <c r="D2" s="483" t="s">
        <v>438</v>
      </c>
      <c r="E2" s="483" t="s">
        <v>432</v>
      </c>
      <c r="F2" s="483" t="s">
        <v>438</v>
      </c>
      <c r="G2" s="483" t="s">
        <v>432</v>
      </c>
      <c r="H2" s="483" t="s">
        <v>438</v>
      </c>
      <c r="I2" s="483" t="s">
        <v>432</v>
      </c>
      <c r="J2" s="483" t="s">
        <v>438</v>
      </c>
      <c r="K2" s="962" t="s">
        <v>432</v>
      </c>
      <c r="L2" s="483" t="s">
        <v>438</v>
      </c>
      <c r="M2" s="483" t="s">
        <v>432</v>
      </c>
      <c r="N2" s="483" t="s">
        <v>438</v>
      </c>
      <c r="O2" s="483" t="s">
        <v>432</v>
      </c>
      <c r="P2" s="483" t="s">
        <v>438</v>
      </c>
      <c r="Q2" s="483" t="s">
        <v>432</v>
      </c>
      <c r="R2" s="483" t="s">
        <v>438</v>
      </c>
      <c r="S2" s="483" t="s">
        <v>432</v>
      </c>
      <c r="T2" s="483" t="s">
        <v>438</v>
      </c>
      <c r="U2" s="483" t="s">
        <v>432</v>
      </c>
      <c r="V2" s="483" t="s">
        <v>438</v>
      </c>
      <c r="W2" s="962" t="s">
        <v>432</v>
      </c>
      <c r="X2" s="483" t="s">
        <v>438</v>
      </c>
      <c r="Y2" s="483" t="s">
        <v>432</v>
      </c>
      <c r="Z2" s="483" t="s">
        <v>438</v>
      </c>
      <c r="AA2" s="483" t="s">
        <v>432</v>
      </c>
      <c r="AB2" s="483" t="s">
        <v>438</v>
      </c>
      <c r="AC2" s="483" t="s">
        <v>432</v>
      </c>
      <c r="AD2" s="483" t="s">
        <v>438</v>
      </c>
      <c r="AE2" s="483" t="s">
        <v>432</v>
      </c>
      <c r="AF2" s="483" t="s">
        <v>438</v>
      </c>
      <c r="AG2" s="483" t="s">
        <v>432</v>
      </c>
      <c r="AH2" s="483" t="s">
        <v>438</v>
      </c>
      <c r="AI2" s="962" t="s">
        <v>432</v>
      </c>
      <c r="AJ2" s="483" t="s">
        <v>438</v>
      </c>
      <c r="AK2" s="483" t="s">
        <v>432</v>
      </c>
      <c r="AL2" s="483" t="s">
        <v>438</v>
      </c>
      <c r="AM2" s="483" t="s">
        <v>432</v>
      </c>
      <c r="AN2" s="483" t="s">
        <v>438</v>
      </c>
      <c r="AO2" s="483" t="s">
        <v>432</v>
      </c>
      <c r="AP2" s="483" t="s">
        <v>438</v>
      </c>
      <c r="AQ2" s="483" t="s">
        <v>432</v>
      </c>
      <c r="AR2" s="483" t="s">
        <v>438</v>
      </c>
      <c r="AS2" s="483" t="s">
        <v>432</v>
      </c>
      <c r="AT2" s="483" t="s">
        <v>438</v>
      </c>
      <c r="AU2" s="962" t="s">
        <v>432</v>
      </c>
      <c r="AV2" s="483" t="s">
        <v>438</v>
      </c>
      <c r="AW2" s="483" t="s">
        <v>432</v>
      </c>
      <c r="AX2" s="483" t="s">
        <v>438</v>
      </c>
      <c r="AY2" s="962" t="s">
        <v>432</v>
      </c>
      <c r="AZ2" s="483" t="s">
        <v>438</v>
      </c>
      <c r="BA2" s="483" t="s">
        <v>432</v>
      </c>
    </row>
    <row r="3" spans="1:53" ht="16.5" x14ac:dyDescent="0.3">
      <c r="A3" s="151" t="s">
        <v>320</v>
      </c>
      <c r="B3" s="151"/>
      <c r="C3" s="790"/>
      <c r="D3" s="791"/>
      <c r="E3" s="791"/>
      <c r="F3" s="791"/>
      <c r="G3" s="791"/>
      <c r="H3" s="791"/>
      <c r="I3" s="791"/>
      <c r="J3" s="791"/>
      <c r="K3" s="791"/>
      <c r="L3" s="791"/>
      <c r="M3" s="791"/>
      <c r="N3" s="791"/>
      <c r="O3" s="791"/>
      <c r="P3" s="791"/>
      <c r="Q3" s="791"/>
      <c r="R3" s="791"/>
      <c r="S3" s="791"/>
      <c r="T3" s="791"/>
      <c r="U3" s="791"/>
      <c r="V3" s="791"/>
      <c r="W3" s="791"/>
      <c r="X3" s="791"/>
      <c r="Y3" s="791"/>
      <c r="Z3" s="791"/>
      <c r="AA3" s="791"/>
      <c r="AB3" s="791"/>
      <c r="AC3" s="791"/>
      <c r="AD3" s="791"/>
      <c r="AE3" s="791"/>
      <c r="AF3" s="791"/>
      <c r="AG3" s="791"/>
      <c r="AH3" s="791"/>
      <c r="AI3" s="791"/>
      <c r="AJ3" s="791"/>
      <c r="AK3" s="791"/>
      <c r="AL3" s="791"/>
      <c r="AM3" s="791"/>
      <c r="AN3" s="791"/>
      <c r="AO3" s="791"/>
      <c r="AP3" s="791"/>
      <c r="AQ3" s="791"/>
      <c r="AR3" s="791"/>
      <c r="AS3" s="791"/>
      <c r="AT3" s="791"/>
      <c r="AU3" s="792"/>
      <c r="AV3" s="1065"/>
      <c r="AW3" s="1066"/>
      <c r="AX3" s="792"/>
      <c r="AY3" s="790"/>
      <c r="AZ3" s="790"/>
      <c r="BA3" s="790"/>
    </row>
    <row r="4" spans="1:53" ht="16.5" x14ac:dyDescent="0.3">
      <c r="A4" s="91" t="s">
        <v>321</v>
      </c>
      <c r="B4" s="91"/>
      <c r="C4" s="660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  <c r="Q4" s="659"/>
      <c r="R4" s="659"/>
      <c r="S4" s="659"/>
      <c r="T4" s="659"/>
      <c r="U4" s="659"/>
      <c r="V4" s="659"/>
      <c r="W4" s="659"/>
      <c r="X4" s="659"/>
      <c r="Y4" s="659"/>
      <c r="Z4" s="659"/>
      <c r="AA4" s="659"/>
      <c r="AB4" s="659"/>
      <c r="AC4" s="659"/>
      <c r="AD4" s="659"/>
      <c r="AE4" s="659"/>
      <c r="AF4" s="659"/>
      <c r="AG4" s="659"/>
      <c r="AH4" s="659"/>
      <c r="AI4" s="659"/>
      <c r="AJ4" s="659"/>
      <c r="AK4" s="659"/>
      <c r="AL4" s="659"/>
      <c r="AM4" s="659"/>
      <c r="AN4" s="659"/>
      <c r="AO4" s="659"/>
      <c r="AP4" s="659"/>
      <c r="AQ4" s="659"/>
      <c r="AR4" s="659"/>
      <c r="AS4" s="659"/>
      <c r="AT4" s="659"/>
      <c r="AU4" s="665"/>
      <c r="AV4" s="987"/>
      <c r="AW4" s="988"/>
      <c r="AX4" s="792"/>
      <c r="AY4" s="660"/>
      <c r="AZ4" s="660"/>
      <c r="BA4" s="660"/>
    </row>
    <row r="5" spans="1:53" ht="16.5" x14ac:dyDescent="0.3">
      <c r="A5" s="91" t="s">
        <v>322</v>
      </c>
      <c r="B5" s="91">
        <v>193823</v>
      </c>
      <c r="C5" s="793">
        <v>190121</v>
      </c>
      <c r="D5" s="666">
        <v>147773</v>
      </c>
      <c r="E5" s="659">
        <v>147773</v>
      </c>
      <c r="F5" s="659">
        <v>218990</v>
      </c>
      <c r="G5" s="659">
        <v>200490</v>
      </c>
      <c r="H5" s="659">
        <v>15071</v>
      </c>
      <c r="I5" s="659">
        <v>15071</v>
      </c>
      <c r="J5" s="659">
        <v>370620</v>
      </c>
      <c r="K5" s="659">
        <v>342620</v>
      </c>
      <c r="L5" s="659">
        <v>95000</v>
      </c>
      <c r="M5" s="659">
        <v>95000</v>
      </c>
      <c r="N5" s="659">
        <v>37406</v>
      </c>
      <c r="O5" s="659">
        <v>37406</v>
      </c>
      <c r="P5" s="659">
        <v>91555</v>
      </c>
      <c r="Q5" s="659">
        <v>66555</v>
      </c>
      <c r="R5" s="659"/>
      <c r="S5" s="659">
        <v>185000</v>
      </c>
      <c r="T5" s="659">
        <v>244582</v>
      </c>
      <c r="U5" s="659">
        <v>214582</v>
      </c>
      <c r="V5" s="659">
        <v>214940</v>
      </c>
      <c r="W5" s="659">
        <v>211262</v>
      </c>
      <c r="X5" s="659">
        <f>Y5</f>
        <v>143731</v>
      </c>
      <c r="Y5" s="659">
        <v>143731</v>
      </c>
      <c r="Z5" s="659">
        <v>80000</v>
      </c>
      <c r="AA5" s="659">
        <v>80000</v>
      </c>
      <c r="AB5" s="659">
        <v>75437</v>
      </c>
      <c r="AC5" s="659">
        <v>66346</v>
      </c>
      <c r="AD5" s="659">
        <v>51029</v>
      </c>
      <c r="AE5" s="659">
        <v>51029</v>
      </c>
      <c r="AF5" s="659">
        <v>191881</v>
      </c>
      <c r="AG5" s="659">
        <v>191881</v>
      </c>
      <c r="AH5" s="659">
        <v>201288</v>
      </c>
      <c r="AI5" s="659">
        <v>201288</v>
      </c>
      <c r="AJ5" s="659">
        <v>119632</v>
      </c>
      <c r="AK5" s="659">
        <v>119632</v>
      </c>
      <c r="AL5" s="659"/>
      <c r="AM5" s="659"/>
      <c r="AN5" s="659">
        <v>100089</v>
      </c>
      <c r="AO5" s="659">
        <v>100037</v>
      </c>
      <c r="AP5" s="659">
        <v>17784</v>
      </c>
      <c r="AQ5" s="659">
        <v>17765</v>
      </c>
      <c r="AR5" s="659">
        <v>33896</v>
      </c>
      <c r="AS5" s="659">
        <v>25896</v>
      </c>
      <c r="AT5" s="659">
        <v>195350</v>
      </c>
      <c r="AU5" s="665">
        <v>195350</v>
      </c>
      <c r="AV5" s="987">
        <f t="shared" ref="AV5:AW36" si="0">SUM(B5+D5+F5+H5+J5+L5+N5+P5+R5+T5+V5+X5+Z5+AB5+AD5+AF5+AH5+AJ5+AL5+AN5+AP5+AR5+AT5)</f>
        <v>2839877</v>
      </c>
      <c r="AW5" s="988">
        <f t="shared" si="0"/>
        <v>2898835</v>
      </c>
      <c r="AX5" s="665">
        <v>632499</v>
      </c>
      <c r="AY5" s="660">
        <v>632499</v>
      </c>
      <c r="AZ5" s="660">
        <f t="shared" ref="AZ5:BA68" si="1">AV5+AX5</f>
        <v>3472376</v>
      </c>
      <c r="BA5" s="660">
        <f t="shared" si="1"/>
        <v>3531334</v>
      </c>
    </row>
    <row r="6" spans="1:53" ht="16.5" x14ac:dyDescent="0.3">
      <c r="A6" s="91" t="s">
        <v>323</v>
      </c>
      <c r="B6" s="91"/>
      <c r="C6" s="793"/>
      <c r="D6" s="666">
        <v>24000</v>
      </c>
      <c r="E6" s="659"/>
      <c r="F6" s="659"/>
      <c r="G6" s="659"/>
      <c r="H6" s="659"/>
      <c r="I6" s="659"/>
      <c r="J6" s="659"/>
      <c r="K6" s="659"/>
      <c r="L6" s="659"/>
      <c r="M6" s="659"/>
      <c r="N6" s="659"/>
      <c r="O6" s="659"/>
      <c r="P6" s="659"/>
      <c r="Q6" s="659"/>
      <c r="R6" s="659"/>
      <c r="S6" s="659"/>
      <c r="T6" s="659"/>
      <c r="U6" s="659"/>
      <c r="V6" s="659">
        <v>315</v>
      </c>
      <c r="W6" s="659">
        <v>332</v>
      </c>
      <c r="X6" s="659">
        <v>19</v>
      </c>
      <c r="Y6" s="659"/>
      <c r="Z6" s="659"/>
      <c r="AA6" s="659"/>
      <c r="AB6" s="659"/>
      <c r="AC6" s="659"/>
      <c r="AD6" s="659"/>
      <c r="AE6" s="659"/>
      <c r="AF6" s="659"/>
      <c r="AG6" s="659"/>
      <c r="AH6" s="659"/>
      <c r="AI6" s="659"/>
      <c r="AJ6" s="659"/>
      <c r="AK6" s="659"/>
      <c r="AL6" s="659"/>
      <c r="AM6" s="659"/>
      <c r="AN6" s="659"/>
      <c r="AO6" s="659"/>
      <c r="AP6" s="659"/>
      <c r="AQ6" s="659"/>
      <c r="AR6" s="659"/>
      <c r="AS6" s="659"/>
      <c r="AT6" s="659"/>
      <c r="AU6" s="665"/>
      <c r="AV6" s="987">
        <f t="shared" si="0"/>
        <v>24334</v>
      </c>
      <c r="AW6" s="988">
        <f t="shared" si="0"/>
        <v>332</v>
      </c>
      <c r="AX6" s="665"/>
      <c r="AY6" s="660"/>
      <c r="AZ6" s="660">
        <f t="shared" si="1"/>
        <v>24334</v>
      </c>
      <c r="BA6" s="660">
        <f t="shared" si="1"/>
        <v>332</v>
      </c>
    </row>
    <row r="7" spans="1:53" ht="16.5" x14ac:dyDescent="0.3">
      <c r="A7" s="91" t="s">
        <v>324</v>
      </c>
      <c r="B7" s="91">
        <v>95197</v>
      </c>
      <c r="C7" s="793">
        <v>60082</v>
      </c>
      <c r="D7" s="666">
        <v>135593</v>
      </c>
      <c r="E7" s="659">
        <v>135593</v>
      </c>
      <c r="F7" s="659"/>
      <c r="G7" s="659"/>
      <c r="H7" s="659">
        <v>1045316</v>
      </c>
      <c r="I7" s="659">
        <v>1037609</v>
      </c>
      <c r="J7" s="659">
        <v>21192</v>
      </c>
      <c r="K7" s="659">
        <v>21201</v>
      </c>
      <c r="L7" s="659">
        <v>40307</v>
      </c>
      <c r="M7" s="659">
        <v>34037</v>
      </c>
      <c r="N7" s="659">
        <v>83292</v>
      </c>
      <c r="O7" s="659">
        <v>83292</v>
      </c>
      <c r="P7" s="659">
        <v>171387</v>
      </c>
      <c r="Q7" s="659">
        <v>171391</v>
      </c>
      <c r="R7" s="659"/>
      <c r="S7" s="659"/>
      <c r="T7" s="659">
        <v>10000</v>
      </c>
      <c r="U7" s="659">
        <v>10000</v>
      </c>
      <c r="V7" s="659">
        <v>1081456</v>
      </c>
      <c r="W7" s="659">
        <v>1328517</v>
      </c>
      <c r="X7" s="659">
        <v>837069</v>
      </c>
      <c r="Y7" s="659">
        <v>758646</v>
      </c>
      <c r="Z7" s="659">
        <v>31530</v>
      </c>
      <c r="AA7" s="659">
        <v>22895</v>
      </c>
      <c r="AB7" s="659">
        <v>67909</v>
      </c>
      <c r="AC7" s="659">
        <v>28000</v>
      </c>
      <c r="AD7" s="659">
        <v>481740</v>
      </c>
      <c r="AE7" s="659">
        <v>387892</v>
      </c>
      <c r="AF7" s="659">
        <v>162085</v>
      </c>
      <c r="AG7" s="659">
        <v>127595</v>
      </c>
      <c r="AH7" s="659">
        <v>423</v>
      </c>
      <c r="AI7" s="659">
        <v>432</v>
      </c>
      <c r="AJ7" s="659">
        <v>32901</v>
      </c>
      <c r="AK7" s="659">
        <v>30316</v>
      </c>
      <c r="AL7" s="659"/>
      <c r="AM7" s="659"/>
      <c r="AN7" s="659">
        <v>1192366</v>
      </c>
      <c r="AO7" s="659">
        <v>1041807</v>
      </c>
      <c r="AP7" s="659">
        <v>61108</v>
      </c>
      <c r="AQ7" s="659">
        <v>50863</v>
      </c>
      <c r="AR7" s="659">
        <v>72095</v>
      </c>
      <c r="AS7" s="659">
        <v>47498</v>
      </c>
      <c r="AT7" s="659">
        <v>81617</v>
      </c>
      <c r="AU7" s="665">
        <v>31065</v>
      </c>
      <c r="AV7" s="987">
        <f t="shared" si="0"/>
        <v>5704583</v>
      </c>
      <c r="AW7" s="988">
        <f t="shared" si="0"/>
        <v>5408731</v>
      </c>
      <c r="AX7" s="665">
        <v>3949204</v>
      </c>
      <c r="AY7" s="660">
        <v>404304</v>
      </c>
      <c r="AZ7" s="660">
        <f t="shared" si="1"/>
        <v>9653787</v>
      </c>
      <c r="BA7" s="660">
        <f t="shared" si="1"/>
        <v>5813035</v>
      </c>
    </row>
    <row r="8" spans="1:53" ht="16.5" x14ac:dyDescent="0.3">
      <c r="A8" s="91" t="s">
        <v>325</v>
      </c>
      <c r="B8" s="91">
        <v>3590</v>
      </c>
      <c r="C8" s="793">
        <v>4660</v>
      </c>
      <c r="D8" s="666"/>
      <c r="E8" s="659"/>
      <c r="F8" s="659"/>
      <c r="G8" s="659"/>
      <c r="H8" s="659">
        <v>18088</v>
      </c>
      <c r="I8" s="659">
        <v>41201</v>
      </c>
      <c r="J8" s="659">
        <v>67</v>
      </c>
      <c r="K8" s="659">
        <v>132</v>
      </c>
      <c r="L8" s="659"/>
      <c r="M8" s="659"/>
      <c r="N8" s="659">
        <v>462</v>
      </c>
      <c r="O8" s="659">
        <v>504</v>
      </c>
      <c r="P8" s="659">
        <v>1687</v>
      </c>
      <c r="Q8" s="659">
        <v>1634</v>
      </c>
      <c r="R8" s="659"/>
      <c r="S8" s="659"/>
      <c r="T8" s="659">
        <v>38</v>
      </c>
      <c r="U8" s="659">
        <v>26</v>
      </c>
      <c r="V8" s="659">
        <v>1969</v>
      </c>
      <c r="W8" s="659">
        <v>8480</v>
      </c>
      <c r="X8" s="659">
        <v>28007</v>
      </c>
      <c r="Y8" s="659">
        <v>13421</v>
      </c>
      <c r="Z8" s="659">
        <v>581</v>
      </c>
      <c r="AA8" s="659">
        <v>273</v>
      </c>
      <c r="AB8" s="659"/>
      <c r="AC8" s="659">
        <v>52</v>
      </c>
      <c r="AD8" s="659">
        <v>103</v>
      </c>
      <c r="AE8" s="659">
        <v>46</v>
      </c>
      <c r="AF8" s="659">
        <v>707</v>
      </c>
      <c r="AG8" s="659">
        <v>110</v>
      </c>
      <c r="AH8" s="659"/>
      <c r="AI8" s="659">
        <v>877</v>
      </c>
      <c r="AJ8" s="659">
        <v>2299</v>
      </c>
      <c r="AK8" s="659">
        <v>3838</v>
      </c>
      <c r="AL8" s="659"/>
      <c r="AM8" s="659"/>
      <c r="AN8" s="659">
        <v>9293</v>
      </c>
      <c r="AO8" s="659">
        <v>20387</v>
      </c>
      <c r="AP8" s="659">
        <v>777</v>
      </c>
      <c r="AQ8" s="659">
        <v>1450</v>
      </c>
      <c r="AR8" s="659">
        <v>204</v>
      </c>
      <c r="AS8" s="659">
        <v>231</v>
      </c>
      <c r="AT8" s="659"/>
      <c r="AU8" s="665"/>
      <c r="AV8" s="987">
        <f t="shared" si="0"/>
        <v>67872</v>
      </c>
      <c r="AW8" s="988">
        <f t="shared" si="0"/>
        <v>97322</v>
      </c>
      <c r="AX8" s="665">
        <v>-14765</v>
      </c>
      <c r="AY8" s="660">
        <v>4109</v>
      </c>
      <c r="AZ8" s="660">
        <f t="shared" si="1"/>
        <v>53107</v>
      </c>
      <c r="BA8" s="660">
        <f t="shared" si="1"/>
        <v>101431</v>
      </c>
    </row>
    <row r="9" spans="1:53" ht="16.5" x14ac:dyDescent="0.3">
      <c r="A9" s="91" t="s">
        <v>326</v>
      </c>
      <c r="B9" s="91"/>
      <c r="C9" s="793"/>
      <c r="D9" s="666"/>
      <c r="E9" s="659"/>
      <c r="F9" s="659"/>
      <c r="G9" s="659"/>
      <c r="H9" s="659"/>
      <c r="I9" s="659"/>
      <c r="J9" s="659"/>
      <c r="K9" s="659"/>
      <c r="L9" s="659"/>
      <c r="M9" s="659"/>
      <c r="N9" s="659"/>
      <c r="O9" s="659"/>
      <c r="P9" s="659"/>
      <c r="Q9" s="659"/>
      <c r="R9" s="659"/>
      <c r="S9" s="659"/>
      <c r="T9" s="659"/>
      <c r="U9" s="659"/>
      <c r="V9" s="659"/>
      <c r="W9" s="659"/>
      <c r="X9" s="659"/>
      <c r="Y9" s="659"/>
      <c r="Z9" s="659"/>
      <c r="AA9" s="659"/>
      <c r="AB9" s="659"/>
      <c r="AC9" s="659"/>
      <c r="AD9" s="659"/>
      <c r="AE9" s="659"/>
      <c r="AF9" s="659"/>
      <c r="AG9" s="659"/>
      <c r="AH9" s="659"/>
      <c r="AI9" s="659"/>
      <c r="AJ9" s="659"/>
      <c r="AK9" s="659"/>
      <c r="AL9" s="659"/>
      <c r="AM9" s="659"/>
      <c r="AN9" s="659"/>
      <c r="AO9" s="659"/>
      <c r="AP9" s="659"/>
      <c r="AQ9" s="659"/>
      <c r="AR9" s="659"/>
      <c r="AS9" s="659"/>
      <c r="AT9" s="659"/>
      <c r="AU9" s="665"/>
      <c r="AV9" s="987">
        <f t="shared" si="0"/>
        <v>0</v>
      </c>
      <c r="AW9" s="988">
        <f t="shared" si="0"/>
        <v>0</v>
      </c>
      <c r="AX9" s="665"/>
      <c r="AY9" s="660"/>
      <c r="AZ9" s="660">
        <f t="shared" si="1"/>
        <v>0</v>
      </c>
      <c r="BA9" s="660">
        <f t="shared" si="1"/>
        <v>0</v>
      </c>
    </row>
    <row r="10" spans="1:53" ht="18" x14ac:dyDescent="0.35">
      <c r="A10" s="114" t="s">
        <v>327</v>
      </c>
      <c r="B10" s="114">
        <v>292610</v>
      </c>
      <c r="C10" s="794">
        <f t="shared" ref="C10:W10" si="2">SUM(C5:C8)</f>
        <v>254863</v>
      </c>
      <c r="D10" s="795">
        <v>307366</v>
      </c>
      <c r="E10" s="795">
        <f t="shared" si="2"/>
        <v>283366</v>
      </c>
      <c r="F10" s="795">
        <f>F5</f>
        <v>218990</v>
      </c>
      <c r="G10" s="795">
        <f t="shared" si="2"/>
        <v>200490</v>
      </c>
      <c r="H10" s="795">
        <v>1078475</v>
      </c>
      <c r="I10" s="795">
        <f t="shared" si="2"/>
        <v>1093881</v>
      </c>
      <c r="J10" s="795">
        <v>391879</v>
      </c>
      <c r="K10" s="795">
        <f t="shared" si="2"/>
        <v>363953</v>
      </c>
      <c r="L10" s="795">
        <v>135307</v>
      </c>
      <c r="M10" s="795">
        <f t="shared" si="2"/>
        <v>129037</v>
      </c>
      <c r="N10" s="795">
        <v>121160</v>
      </c>
      <c r="O10" s="795">
        <f t="shared" si="2"/>
        <v>121202</v>
      </c>
      <c r="P10" s="795">
        <v>264629</v>
      </c>
      <c r="Q10" s="795">
        <f t="shared" si="2"/>
        <v>239580</v>
      </c>
      <c r="R10" s="795"/>
      <c r="S10" s="795">
        <f t="shared" si="2"/>
        <v>185000</v>
      </c>
      <c r="T10" s="795">
        <v>254620</v>
      </c>
      <c r="U10" s="795">
        <f t="shared" si="2"/>
        <v>224608</v>
      </c>
      <c r="V10" s="795">
        <v>1298680</v>
      </c>
      <c r="W10" s="795">
        <f t="shared" si="2"/>
        <v>1548591</v>
      </c>
      <c r="X10" s="795">
        <v>1008952</v>
      </c>
      <c r="Y10" s="795">
        <f>SUM(Y5:Y9)</f>
        <v>915798</v>
      </c>
      <c r="Z10" s="795">
        <v>112111</v>
      </c>
      <c r="AA10" s="795">
        <f t="shared" ref="AA10:AU10" si="3">SUM(AA5:AA8)</f>
        <v>103168</v>
      </c>
      <c r="AB10" s="795">
        <v>143346</v>
      </c>
      <c r="AC10" s="795">
        <f t="shared" si="3"/>
        <v>94398</v>
      </c>
      <c r="AD10" s="795">
        <v>532872</v>
      </c>
      <c r="AE10" s="795">
        <f t="shared" si="3"/>
        <v>438967</v>
      </c>
      <c r="AF10" s="795">
        <v>354673</v>
      </c>
      <c r="AG10" s="795">
        <f t="shared" si="3"/>
        <v>319586</v>
      </c>
      <c r="AH10" s="795">
        <f t="shared" si="3"/>
        <v>201711</v>
      </c>
      <c r="AI10" s="795">
        <f t="shared" si="3"/>
        <v>202597</v>
      </c>
      <c r="AJ10" s="795">
        <f t="shared" si="3"/>
        <v>154832</v>
      </c>
      <c r="AK10" s="795">
        <f t="shared" si="3"/>
        <v>153786</v>
      </c>
      <c r="AL10" s="795"/>
      <c r="AM10" s="795">
        <f t="shared" si="3"/>
        <v>0</v>
      </c>
      <c r="AN10" s="795">
        <v>1301748</v>
      </c>
      <c r="AO10" s="795">
        <f t="shared" si="3"/>
        <v>1162231</v>
      </c>
      <c r="AP10" s="795">
        <v>79671</v>
      </c>
      <c r="AQ10" s="795">
        <f t="shared" si="3"/>
        <v>70078</v>
      </c>
      <c r="AR10" s="795">
        <v>106195</v>
      </c>
      <c r="AS10" s="795">
        <f t="shared" si="3"/>
        <v>73625</v>
      </c>
      <c r="AT10" s="795">
        <v>276967</v>
      </c>
      <c r="AU10" s="963">
        <f t="shared" si="3"/>
        <v>226415</v>
      </c>
      <c r="AV10" s="987">
        <f t="shared" si="0"/>
        <v>8636794</v>
      </c>
      <c r="AW10" s="988">
        <f t="shared" si="0"/>
        <v>8405220</v>
      </c>
      <c r="AX10" s="665">
        <v>4566939</v>
      </c>
      <c r="AY10" s="796">
        <f>SUM(AY5:AY9)</f>
        <v>1040912</v>
      </c>
      <c r="AZ10" s="660">
        <f t="shared" si="1"/>
        <v>13203733</v>
      </c>
      <c r="BA10" s="660">
        <f t="shared" si="1"/>
        <v>9446132</v>
      </c>
    </row>
    <row r="11" spans="1:53" ht="16.5" x14ac:dyDescent="0.3">
      <c r="A11" s="91" t="s">
        <v>328</v>
      </c>
      <c r="B11" s="91">
        <v>50000</v>
      </c>
      <c r="C11" s="793">
        <v>50000</v>
      </c>
      <c r="D11" s="666">
        <v>7000</v>
      </c>
      <c r="E11" s="659">
        <v>7000</v>
      </c>
      <c r="F11" s="659"/>
      <c r="G11" s="659"/>
      <c r="H11" s="659"/>
      <c r="I11" s="659"/>
      <c r="J11" s="659"/>
      <c r="K11" s="659"/>
      <c r="L11" s="659"/>
      <c r="M11" s="659"/>
      <c r="N11" s="659"/>
      <c r="O11" s="659"/>
      <c r="P11" s="659"/>
      <c r="Q11" s="659"/>
      <c r="R11" s="659"/>
      <c r="S11" s="659"/>
      <c r="T11" s="659">
        <v>3000</v>
      </c>
      <c r="U11" s="659">
        <v>3000</v>
      </c>
      <c r="V11" s="659">
        <v>95000</v>
      </c>
      <c r="W11" s="659">
        <v>60000</v>
      </c>
      <c r="X11" s="659">
        <v>120000</v>
      </c>
      <c r="Y11" s="659">
        <v>120000</v>
      </c>
      <c r="Z11" s="659"/>
      <c r="AA11" s="659"/>
      <c r="AB11" s="659">
        <v>12500</v>
      </c>
      <c r="AC11" s="659">
        <v>22500</v>
      </c>
      <c r="AD11" s="659"/>
      <c r="AE11" s="659"/>
      <c r="AF11" s="659"/>
      <c r="AG11" s="659"/>
      <c r="AH11" s="659">
        <v>40000</v>
      </c>
      <c r="AI11" s="659">
        <v>40000</v>
      </c>
      <c r="AJ11" s="659"/>
      <c r="AK11" s="659"/>
      <c r="AL11" s="659"/>
      <c r="AM11" s="659"/>
      <c r="AN11" s="659"/>
      <c r="AO11" s="659"/>
      <c r="AP11" s="659"/>
      <c r="AQ11" s="659"/>
      <c r="AR11" s="659">
        <v>12500</v>
      </c>
      <c r="AS11" s="659">
        <v>12500</v>
      </c>
      <c r="AT11" s="659">
        <v>97600</v>
      </c>
      <c r="AU11" s="665">
        <v>48800</v>
      </c>
      <c r="AV11" s="987">
        <f t="shared" si="0"/>
        <v>437600</v>
      </c>
      <c r="AW11" s="988">
        <f t="shared" si="0"/>
        <v>363800</v>
      </c>
      <c r="AX11" s="665"/>
      <c r="AY11" s="660"/>
      <c r="AZ11" s="660">
        <f t="shared" si="1"/>
        <v>437600</v>
      </c>
      <c r="BA11" s="660">
        <f t="shared" si="1"/>
        <v>363800</v>
      </c>
    </row>
    <row r="12" spans="1:53" ht="16.5" x14ac:dyDescent="0.3">
      <c r="A12" s="114" t="s">
        <v>329</v>
      </c>
      <c r="B12" s="114"/>
      <c r="C12" s="793"/>
      <c r="D12" s="666"/>
      <c r="E12" s="659"/>
      <c r="F12" s="659"/>
      <c r="G12" s="659"/>
      <c r="H12" s="659"/>
      <c r="I12" s="659"/>
      <c r="J12" s="659">
        <v>6000</v>
      </c>
      <c r="K12" s="659">
        <v>6000</v>
      </c>
      <c r="L12" s="659"/>
      <c r="M12" s="659"/>
      <c r="N12" s="659"/>
      <c r="O12" s="659"/>
      <c r="P12" s="659"/>
      <c r="Q12" s="659"/>
      <c r="R12" s="659"/>
      <c r="S12" s="659"/>
      <c r="T12" s="659"/>
      <c r="U12" s="659"/>
      <c r="V12" s="659"/>
      <c r="W12" s="659"/>
      <c r="X12" s="659"/>
      <c r="Y12" s="659"/>
      <c r="Z12" s="659"/>
      <c r="AA12" s="659"/>
      <c r="AB12" s="659"/>
      <c r="AC12" s="659"/>
      <c r="AD12" s="659"/>
      <c r="AE12" s="659"/>
      <c r="AF12" s="659"/>
      <c r="AG12" s="659"/>
      <c r="AH12" s="659"/>
      <c r="AI12" s="659"/>
      <c r="AJ12" s="659"/>
      <c r="AK12" s="659"/>
      <c r="AL12" s="659"/>
      <c r="AM12" s="659"/>
      <c r="AN12" s="659"/>
      <c r="AO12" s="659"/>
      <c r="AP12" s="659"/>
      <c r="AQ12" s="659"/>
      <c r="AR12" s="659"/>
      <c r="AS12" s="659"/>
      <c r="AT12" s="659"/>
      <c r="AU12" s="665"/>
      <c r="AV12" s="987">
        <f t="shared" si="0"/>
        <v>6000</v>
      </c>
      <c r="AW12" s="988">
        <f t="shared" si="0"/>
        <v>6000</v>
      </c>
      <c r="AX12" s="665"/>
      <c r="AY12" s="660"/>
      <c r="AZ12" s="660">
        <f t="shared" si="1"/>
        <v>6000</v>
      </c>
      <c r="BA12" s="660">
        <f t="shared" si="1"/>
        <v>6000</v>
      </c>
    </row>
    <row r="13" spans="1:53" ht="16.5" x14ac:dyDescent="0.3">
      <c r="A13" s="91" t="s">
        <v>325</v>
      </c>
      <c r="B13" s="91">
        <v>20943</v>
      </c>
      <c r="C13" s="793">
        <v>21831</v>
      </c>
      <c r="D13" s="666">
        <v>-1303</v>
      </c>
      <c r="E13" s="659">
        <v>-554</v>
      </c>
      <c r="F13" s="659">
        <v>94</v>
      </c>
      <c r="G13" s="659">
        <v>106</v>
      </c>
      <c r="H13" s="659">
        <v>145744</v>
      </c>
      <c r="I13" s="659">
        <v>206092</v>
      </c>
      <c r="J13" s="659">
        <v>2408</v>
      </c>
      <c r="K13" s="659">
        <v>1667</v>
      </c>
      <c r="L13" s="659">
        <v>4216</v>
      </c>
      <c r="M13" s="659">
        <v>2435</v>
      </c>
      <c r="N13" s="659"/>
      <c r="O13" s="659">
        <v>28</v>
      </c>
      <c r="P13" s="659">
        <v>5259</v>
      </c>
      <c r="Q13" s="659">
        <v>3710</v>
      </c>
      <c r="R13" s="659"/>
      <c r="S13" s="659">
        <v>10771</v>
      </c>
      <c r="T13" s="659">
        <v>186</v>
      </c>
      <c r="U13" s="659">
        <v>147</v>
      </c>
      <c r="V13" s="659">
        <v>197589</v>
      </c>
      <c r="W13" s="659">
        <v>216968</v>
      </c>
      <c r="X13" s="659">
        <v>283269</v>
      </c>
      <c r="Y13" s="659">
        <v>289543</v>
      </c>
      <c r="Z13" s="659">
        <v>4867</v>
      </c>
      <c r="AA13" s="659">
        <v>3184</v>
      </c>
      <c r="AB13" s="659">
        <v>-57</v>
      </c>
      <c r="AC13" s="659">
        <v>627</v>
      </c>
      <c r="AD13" s="659">
        <v>9903</v>
      </c>
      <c r="AE13" s="659">
        <v>11544</v>
      </c>
      <c r="AF13" s="659">
        <v>84660</v>
      </c>
      <c r="AG13" s="659">
        <v>67935</v>
      </c>
      <c r="AH13" s="659">
        <v>22248</v>
      </c>
      <c r="AI13" s="659">
        <v>28819</v>
      </c>
      <c r="AJ13" s="659">
        <v>15742</v>
      </c>
      <c r="AK13" s="659">
        <v>21650</v>
      </c>
      <c r="AL13" s="659"/>
      <c r="AM13" s="659"/>
      <c r="AN13" s="659">
        <v>203889</v>
      </c>
      <c r="AO13" s="659">
        <v>320690</v>
      </c>
      <c r="AP13" s="659">
        <v>2865</v>
      </c>
      <c r="AQ13" s="659">
        <v>4836.7700000000004</v>
      </c>
      <c r="AR13" s="659">
        <v>2423</v>
      </c>
      <c r="AS13" s="659">
        <v>2402</v>
      </c>
      <c r="AT13" s="659">
        <v>124865</v>
      </c>
      <c r="AU13" s="665">
        <v>155002</v>
      </c>
      <c r="AV13" s="987">
        <f t="shared" si="0"/>
        <v>1129810</v>
      </c>
      <c r="AW13" s="988">
        <f t="shared" si="0"/>
        <v>1369433.77</v>
      </c>
      <c r="AX13" s="665">
        <v>34828034</v>
      </c>
      <c r="AY13" s="660">
        <v>40023933</v>
      </c>
      <c r="AZ13" s="660">
        <f t="shared" si="1"/>
        <v>35957844</v>
      </c>
      <c r="BA13" s="660">
        <f t="shared" si="1"/>
        <v>41393366.770000003</v>
      </c>
    </row>
    <row r="14" spans="1:53" ht="16.5" x14ac:dyDescent="0.3">
      <c r="A14" s="91" t="s">
        <v>330</v>
      </c>
      <c r="B14" s="91"/>
      <c r="C14" s="793"/>
      <c r="D14" s="666"/>
      <c r="E14" s="659"/>
      <c r="F14" s="659"/>
      <c r="G14" s="659"/>
      <c r="H14" s="659"/>
      <c r="I14" s="659"/>
      <c r="J14" s="659"/>
      <c r="K14" s="659"/>
      <c r="L14" s="659"/>
      <c r="M14" s="659"/>
      <c r="N14" s="659"/>
      <c r="O14" s="659"/>
      <c r="P14" s="659"/>
      <c r="Q14" s="659"/>
      <c r="R14" s="659"/>
      <c r="S14" s="659"/>
      <c r="T14" s="659"/>
      <c r="U14" s="659"/>
      <c r="V14" s="659"/>
      <c r="W14" s="659"/>
      <c r="X14" s="659"/>
      <c r="Y14" s="659"/>
      <c r="Z14" s="659"/>
      <c r="AA14" s="659"/>
      <c r="AB14" s="659"/>
      <c r="AC14" s="659"/>
      <c r="AD14" s="659">
        <v>7478</v>
      </c>
      <c r="AE14" s="659">
        <v>4974</v>
      </c>
      <c r="AF14" s="659"/>
      <c r="AG14" s="659"/>
      <c r="AH14" s="659"/>
      <c r="AI14" s="659"/>
      <c r="AJ14" s="659"/>
      <c r="AK14" s="659"/>
      <c r="AL14" s="659"/>
      <c r="AM14" s="659"/>
      <c r="AN14" s="659"/>
      <c r="AO14" s="659"/>
      <c r="AP14" s="659"/>
      <c r="AQ14" s="659"/>
      <c r="AR14" s="659"/>
      <c r="AS14" s="659"/>
      <c r="AT14" s="659"/>
      <c r="AU14" s="665"/>
      <c r="AV14" s="987">
        <f t="shared" si="0"/>
        <v>7478</v>
      </c>
      <c r="AW14" s="988">
        <f t="shared" si="0"/>
        <v>4974</v>
      </c>
      <c r="AX14" s="665"/>
      <c r="AY14" s="660"/>
      <c r="AZ14" s="660">
        <f t="shared" si="1"/>
        <v>7478</v>
      </c>
      <c r="BA14" s="660">
        <f t="shared" si="1"/>
        <v>4974</v>
      </c>
    </row>
    <row r="15" spans="1:53" ht="16.5" x14ac:dyDescent="0.3">
      <c r="A15" s="91" t="s">
        <v>331</v>
      </c>
      <c r="B15" s="91"/>
      <c r="C15" s="793"/>
      <c r="D15" s="666"/>
      <c r="E15" s="659"/>
      <c r="F15" s="659"/>
      <c r="G15" s="659"/>
      <c r="H15" s="659">
        <v>4365578</v>
      </c>
      <c r="I15" s="659">
        <v>3853197</v>
      </c>
      <c r="J15" s="659"/>
      <c r="K15" s="659"/>
      <c r="L15" s="659"/>
      <c r="M15" s="659"/>
      <c r="N15" s="659"/>
      <c r="O15" s="659"/>
      <c r="P15" s="659"/>
      <c r="Q15" s="659"/>
      <c r="R15" s="659"/>
      <c r="S15" s="659"/>
      <c r="T15" s="659"/>
      <c r="U15" s="659"/>
      <c r="V15" s="659"/>
      <c r="W15" s="659"/>
      <c r="X15" s="659"/>
      <c r="Y15" s="659"/>
      <c r="Z15" s="659"/>
      <c r="AA15" s="659"/>
      <c r="AB15" s="659"/>
      <c r="AC15" s="659"/>
      <c r="AD15" s="659"/>
      <c r="AE15" s="659"/>
      <c r="AF15" s="659"/>
      <c r="AG15" s="659"/>
      <c r="AH15" s="659"/>
      <c r="AI15" s="659"/>
      <c r="AJ15" s="659"/>
      <c r="AK15" s="659"/>
      <c r="AL15" s="659"/>
      <c r="AM15" s="659"/>
      <c r="AN15" s="659"/>
      <c r="AO15" s="659"/>
      <c r="AP15" s="659"/>
      <c r="AQ15" s="659"/>
      <c r="AR15" s="659"/>
      <c r="AS15" s="659"/>
      <c r="AT15" s="659"/>
      <c r="AU15" s="665"/>
      <c r="AV15" s="987">
        <f t="shared" si="0"/>
        <v>4365578</v>
      </c>
      <c r="AW15" s="988">
        <f t="shared" si="0"/>
        <v>3853197</v>
      </c>
      <c r="AX15" s="665"/>
      <c r="AY15" s="660"/>
      <c r="AZ15" s="660">
        <f t="shared" si="1"/>
        <v>4365578</v>
      </c>
      <c r="BA15" s="660">
        <f t="shared" si="1"/>
        <v>3853197</v>
      </c>
    </row>
    <row r="16" spans="1:53" ht="16.5" x14ac:dyDescent="0.3">
      <c r="A16" s="114" t="s">
        <v>332</v>
      </c>
      <c r="B16" s="114">
        <v>3704568</v>
      </c>
      <c r="C16" s="793">
        <v>2824017</v>
      </c>
      <c r="D16" s="666">
        <v>269193</v>
      </c>
      <c r="E16" s="659">
        <v>224833</v>
      </c>
      <c r="F16" s="659">
        <f>3148+111+32+3242+92+791806+18714+9239+5+7114+650+3076</f>
        <v>837229</v>
      </c>
      <c r="G16" s="659">
        <f>3046+41+2927+88+703890+18598+4822+317+6520+399+1791</f>
        <v>742439</v>
      </c>
      <c r="H16" s="659"/>
      <c r="I16" s="659"/>
      <c r="J16" s="659">
        <v>1078958</v>
      </c>
      <c r="K16" s="659">
        <v>899363</v>
      </c>
      <c r="L16" s="659">
        <f>3926+247+266584+721207+846+454327+113323+473</f>
        <v>1560933</v>
      </c>
      <c r="M16" s="659">
        <f>5098+289+155570+549011+3439+349486+98600+467</f>
        <v>1161960</v>
      </c>
      <c r="N16" s="659">
        <v>605170</v>
      </c>
      <c r="O16" s="659">
        <v>497433</v>
      </c>
      <c r="P16" s="659">
        <v>455582</v>
      </c>
      <c r="Q16" s="659">
        <v>350094</v>
      </c>
      <c r="R16" s="659"/>
      <c r="S16" s="659">
        <f>1000490+3110+454934+25716+67798+105390</f>
        <v>1657438</v>
      </c>
      <c r="T16" s="659">
        <v>608164</v>
      </c>
      <c r="U16" s="659">
        <v>504637</v>
      </c>
      <c r="V16" s="659">
        <v>14326956</v>
      </c>
      <c r="W16" s="659">
        <v>10434250</v>
      </c>
      <c r="X16" s="659">
        <v>9030735</v>
      </c>
      <c r="Y16" s="659">
        <v>7368215</v>
      </c>
      <c r="Z16" s="659">
        <v>994942</v>
      </c>
      <c r="AA16" s="659">
        <v>873927</v>
      </c>
      <c r="AB16" s="659">
        <v>1250103</v>
      </c>
      <c r="AC16" s="659">
        <v>1082431</v>
      </c>
      <c r="AD16" s="659">
        <v>3471712</v>
      </c>
      <c r="AE16" s="659">
        <v>2766755</v>
      </c>
      <c r="AF16" s="659">
        <v>8053542</v>
      </c>
      <c r="AG16" s="659">
        <v>6728220</v>
      </c>
      <c r="AH16" s="659">
        <v>2881569</v>
      </c>
      <c r="AI16" s="659">
        <v>2361700</v>
      </c>
      <c r="AJ16" s="659">
        <v>2199932</v>
      </c>
      <c r="AK16" s="659">
        <v>1906793</v>
      </c>
      <c r="AL16" s="659"/>
      <c r="AM16" s="659"/>
      <c r="AN16" s="659">
        <v>13013190</v>
      </c>
      <c r="AO16" s="659">
        <v>10975904</v>
      </c>
      <c r="AP16" s="659">
        <v>817258</v>
      </c>
      <c r="AQ16" s="659">
        <v>674426</v>
      </c>
      <c r="AR16" s="659">
        <v>1507844</v>
      </c>
      <c r="AS16" s="659">
        <v>1117807</v>
      </c>
      <c r="AT16" s="659">
        <v>4334722</v>
      </c>
      <c r="AU16" s="665">
        <v>3334230</v>
      </c>
      <c r="AV16" s="987">
        <f t="shared" si="0"/>
        <v>71002302</v>
      </c>
      <c r="AW16" s="988">
        <f t="shared" si="0"/>
        <v>58486872</v>
      </c>
      <c r="AX16" s="665">
        <v>405124849</v>
      </c>
      <c r="AY16" s="660">
        <v>371003945</v>
      </c>
      <c r="AZ16" s="660">
        <f t="shared" si="1"/>
        <v>476127151</v>
      </c>
      <c r="BA16" s="660">
        <f t="shared" si="1"/>
        <v>429490817</v>
      </c>
    </row>
    <row r="17" spans="1:53" ht="16.5" x14ac:dyDescent="0.3">
      <c r="A17" s="91" t="s">
        <v>333</v>
      </c>
      <c r="B17" s="91"/>
      <c r="C17" s="793"/>
      <c r="D17" s="666"/>
      <c r="E17" s="659"/>
      <c r="F17" s="659"/>
      <c r="G17" s="659"/>
      <c r="H17" s="659"/>
      <c r="I17" s="659"/>
      <c r="J17" s="659"/>
      <c r="K17" s="659"/>
      <c r="L17" s="659"/>
      <c r="M17" s="659"/>
      <c r="N17" s="659"/>
      <c r="O17" s="659"/>
      <c r="P17" s="659"/>
      <c r="Q17" s="659"/>
      <c r="R17" s="659"/>
      <c r="S17" s="659"/>
      <c r="T17" s="659"/>
      <c r="U17" s="659"/>
      <c r="V17" s="659"/>
      <c r="W17" s="659"/>
      <c r="X17" s="659"/>
      <c r="Y17" s="659"/>
      <c r="Z17" s="659"/>
      <c r="AA17" s="659"/>
      <c r="AB17" s="659"/>
      <c r="AC17" s="659"/>
      <c r="AD17" s="659"/>
      <c r="AE17" s="659"/>
      <c r="AF17" s="659"/>
      <c r="AG17" s="659"/>
      <c r="AH17" s="659"/>
      <c r="AI17" s="659"/>
      <c r="AJ17" s="659"/>
      <c r="AK17" s="659"/>
      <c r="AL17" s="659"/>
      <c r="AM17" s="659"/>
      <c r="AN17" s="659"/>
      <c r="AO17" s="659"/>
      <c r="AP17" s="659"/>
      <c r="AQ17" s="659"/>
      <c r="AR17" s="659"/>
      <c r="AS17" s="659"/>
      <c r="AT17" s="659"/>
      <c r="AU17" s="665"/>
      <c r="AV17" s="987">
        <f t="shared" si="0"/>
        <v>0</v>
      </c>
      <c r="AW17" s="988">
        <f t="shared" si="0"/>
        <v>0</v>
      </c>
      <c r="AX17" s="665"/>
      <c r="AY17" s="660"/>
      <c r="AZ17" s="660">
        <f t="shared" si="1"/>
        <v>0</v>
      </c>
      <c r="BA17" s="660">
        <f t="shared" si="1"/>
        <v>0</v>
      </c>
    </row>
    <row r="18" spans="1:53" ht="16.5" x14ac:dyDescent="0.3">
      <c r="A18" s="114" t="s">
        <v>332</v>
      </c>
      <c r="B18" s="114"/>
      <c r="C18" s="793"/>
      <c r="D18" s="666"/>
      <c r="E18" s="659"/>
      <c r="F18" s="659"/>
      <c r="G18" s="659"/>
      <c r="H18" s="659"/>
      <c r="I18" s="659"/>
      <c r="J18" s="659"/>
      <c r="K18" s="659"/>
      <c r="L18" s="659"/>
      <c r="M18" s="659"/>
      <c r="N18" s="659"/>
      <c r="O18" s="659"/>
      <c r="P18" s="659"/>
      <c r="Q18" s="659"/>
      <c r="R18" s="659"/>
      <c r="S18" s="659"/>
      <c r="T18" s="659"/>
      <c r="U18" s="659"/>
      <c r="V18" s="659"/>
      <c r="W18" s="659"/>
      <c r="X18" s="659"/>
      <c r="Y18" s="659"/>
      <c r="Z18" s="659"/>
      <c r="AA18" s="659"/>
      <c r="AB18" s="659"/>
      <c r="AC18" s="659"/>
      <c r="AD18" s="659"/>
      <c r="AE18" s="659"/>
      <c r="AF18" s="659"/>
      <c r="AG18" s="659"/>
      <c r="AH18" s="659"/>
      <c r="AI18" s="659"/>
      <c r="AJ18" s="659"/>
      <c r="AL18" s="659"/>
      <c r="AM18" s="659"/>
      <c r="AN18" s="659"/>
      <c r="AO18" s="659"/>
      <c r="AP18" s="659"/>
      <c r="AQ18" s="659"/>
      <c r="AR18" s="659"/>
      <c r="AS18" s="659"/>
      <c r="AT18" s="659"/>
      <c r="AU18" s="665"/>
      <c r="AV18" s="987">
        <f t="shared" si="0"/>
        <v>0</v>
      </c>
      <c r="AW18" s="988">
        <f>SUM(C18+E18+G18+I18+K18+M18+O18+Q18+S18+U18+W18+Y18+AA18+AC18+AE18+AG18+AI18+AK24+AM18+AO18+AQ18+AS18+AU18)</f>
        <v>631058</v>
      </c>
      <c r="AX18" s="665"/>
      <c r="AY18" s="660"/>
      <c r="AZ18" s="660">
        <f t="shared" si="1"/>
        <v>0</v>
      </c>
      <c r="BA18" s="660">
        <f t="shared" si="1"/>
        <v>631058</v>
      </c>
    </row>
    <row r="19" spans="1:53" ht="16.5" x14ac:dyDescent="0.3">
      <c r="A19" s="91" t="s">
        <v>275</v>
      </c>
      <c r="B19" s="91">
        <v>2692976</v>
      </c>
      <c r="C19" s="793">
        <v>2579325</v>
      </c>
      <c r="D19" s="666"/>
      <c r="E19" s="659"/>
      <c r="F19" s="659"/>
      <c r="G19" s="659"/>
      <c r="H19" s="659"/>
      <c r="I19" s="659"/>
      <c r="J19" s="659"/>
      <c r="K19" s="659"/>
      <c r="L19" s="659"/>
      <c r="M19" s="659"/>
      <c r="N19" s="659"/>
      <c r="O19" s="659"/>
      <c r="P19" s="659"/>
      <c r="Q19" s="659"/>
      <c r="R19" s="659"/>
      <c r="S19" s="659"/>
      <c r="T19" s="659"/>
      <c r="U19" s="659"/>
      <c r="V19" s="659"/>
      <c r="W19" s="659"/>
      <c r="X19" s="659"/>
      <c r="Y19" s="659"/>
      <c r="Z19" s="659"/>
      <c r="AA19" s="659"/>
      <c r="AB19" s="659"/>
      <c r="AC19" s="659"/>
      <c r="AD19" s="659"/>
      <c r="AE19" s="659"/>
      <c r="AF19" s="659"/>
      <c r="AG19" s="659"/>
      <c r="AH19" s="659"/>
      <c r="AI19" s="659"/>
      <c r="AJ19" s="659"/>
      <c r="AK19" s="659"/>
      <c r="AL19" s="659"/>
      <c r="AM19" s="659"/>
      <c r="AN19" s="659"/>
      <c r="AO19" s="659"/>
      <c r="AP19" s="659">
        <v>40680</v>
      </c>
      <c r="AQ19" s="659">
        <v>44735</v>
      </c>
      <c r="AR19" s="659"/>
      <c r="AS19" s="659"/>
      <c r="AT19" s="659"/>
      <c r="AU19" s="665"/>
      <c r="AV19" s="987">
        <f t="shared" si="0"/>
        <v>2733656</v>
      </c>
      <c r="AW19" s="988">
        <f t="shared" si="0"/>
        <v>2624060</v>
      </c>
      <c r="AX19" s="665"/>
      <c r="AY19" s="660"/>
      <c r="AZ19" s="660">
        <f t="shared" si="1"/>
        <v>2733656</v>
      </c>
      <c r="BA19" s="660">
        <f t="shared" si="1"/>
        <v>2624060</v>
      </c>
    </row>
    <row r="20" spans="1:53" ht="16.5" x14ac:dyDescent="0.3">
      <c r="A20" s="91" t="s">
        <v>334</v>
      </c>
      <c r="B20" s="91"/>
      <c r="C20" s="793"/>
      <c r="D20" s="666"/>
      <c r="E20" s="659"/>
      <c r="F20" s="659"/>
      <c r="G20" s="659"/>
      <c r="H20" s="659"/>
      <c r="I20" s="659"/>
      <c r="J20" s="659"/>
      <c r="K20" s="659"/>
      <c r="L20" s="659"/>
      <c r="M20" s="659"/>
      <c r="N20" s="659"/>
      <c r="O20" s="659"/>
      <c r="P20" s="659"/>
      <c r="Q20" s="659"/>
      <c r="R20" s="659"/>
      <c r="S20" s="659"/>
      <c r="T20" s="659"/>
      <c r="U20" s="659"/>
      <c r="V20" s="659"/>
      <c r="W20" s="659"/>
      <c r="X20" s="659"/>
      <c r="Y20" s="659"/>
      <c r="Z20" s="659"/>
      <c r="AA20" s="659"/>
      <c r="AB20" s="659"/>
      <c r="AC20" s="659"/>
      <c r="AD20" s="659"/>
      <c r="AE20" s="659"/>
      <c r="AF20" s="659"/>
      <c r="AG20" s="659"/>
      <c r="AH20" s="659"/>
      <c r="AI20" s="659"/>
      <c r="AJ20" s="659"/>
      <c r="AK20" s="659"/>
      <c r="AL20" s="659"/>
      <c r="AM20" s="659"/>
      <c r="AN20" s="659"/>
      <c r="AO20" s="659"/>
      <c r="AP20" s="659"/>
      <c r="AQ20" s="659"/>
      <c r="AR20" s="659"/>
      <c r="AS20" s="659"/>
      <c r="AT20" s="659"/>
      <c r="AU20" s="665"/>
      <c r="AV20" s="987">
        <f t="shared" si="0"/>
        <v>0</v>
      </c>
      <c r="AW20" s="988">
        <f t="shared" si="0"/>
        <v>0</v>
      </c>
      <c r="AX20" s="665"/>
      <c r="AY20" s="660"/>
      <c r="AZ20" s="660">
        <f t="shared" si="1"/>
        <v>0</v>
      </c>
      <c r="BA20" s="660">
        <f t="shared" si="1"/>
        <v>0</v>
      </c>
    </row>
    <row r="21" spans="1:53" ht="16.5" x14ac:dyDescent="0.3">
      <c r="A21" s="114" t="s">
        <v>335</v>
      </c>
      <c r="B21" s="114"/>
      <c r="C21" s="793"/>
      <c r="D21" s="666"/>
      <c r="E21" s="659"/>
      <c r="F21" s="659"/>
      <c r="G21" s="659"/>
      <c r="H21" s="659"/>
      <c r="I21" s="659"/>
      <c r="J21" s="659"/>
      <c r="K21" s="659"/>
      <c r="L21" s="659"/>
      <c r="M21" s="659"/>
      <c r="N21" s="659"/>
      <c r="O21" s="659"/>
      <c r="P21" s="659"/>
      <c r="Q21" s="659"/>
      <c r="R21" s="659"/>
      <c r="S21" s="659"/>
      <c r="T21" s="659"/>
      <c r="U21" s="659"/>
      <c r="V21" s="659"/>
      <c r="W21" s="659"/>
      <c r="X21" s="659"/>
      <c r="Y21" s="659"/>
      <c r="Z21" s="659"/>
      <c r="AA21" s="659"/>
      <c r="AB21" s="659"/>
      <c r="AC21" s="659"/>
      <c r="AD21" s="659"/>
      <c r="AE21" s="659"/>
      <c r="AF21" s="659"/>
      <c r="AG21" s="659"/>
      <c r="AH21" s="659"/>
      <c r="AI21" s="659"/>
      <c r="AJ21" s="659"/>
      <c r="AK21" s="659"/>
      <c r="AL21" s="659"/>
      <c r="AM21" s="659"/>
      <c r="AN21" s="659"/>
      <c r="AO21" s="659"/>
      <c r="AP21" s="659"/>
      <c r="AQ21" s="659"/>
      <c r="AR21" s="659"/>
      <c r="AS21" s="659"/>
      <c r="AT21" s="659"/>
      <c r="AU21" s="665"/>
      <c r="AV21" s="987">
        <f t="shared" si="0"/>
        <v>0</v>
      </c>
      <c r="AW21" s="988">
        <f t="shared" si="0"/>
        <v>0</v>
      </c>
      <c r="AX21" s="665">
        <v>1567807</v>
      </c>
      <c r="AY21" s="660">
        <v>1285462</v>
      </c>
      <c r="AZ21" s="660">
        <f t="shared" si="1"/>
        <v>1567807</v>
      </c>
      <c r="BA21" s="660">
        <f t="shared" si="1"/>
        <v>1285462</v>
      </c>
    </row>
    <row r="22" spans="1:53" ht="16.5" x14ac:dyDescent="0.3">
      <c r="A22" s="91" t="s">
        <v>336</v>
      </c>
      <c r="B22" s="91"/>
      <c r="C22" s="793"/>
      <c r="D22" s="666"/>
      <c r="E22" s="659"/>
      <c r="F22" s="659"/>
      <c r="G22" s="659"/>
      <c r="H22" s="659"/>
      <c r="I22" s="659"/>
      <c r="J22" s="659"/>
      <c r="K22" s="659"/>
      <c r="L22" s="659"/>
      <c r="M22" s="659"/>
      <c r="N22" s="659"/>
      <c r="O22" s="659"/>
      <c r="P22" s="659"/>
      <c r="Q22" s="659"/>
      <c r="R22" s="659"/>
      <c r="S22" s="659"/>
      <c r="T22" s="659"/>
      <c r="U22" s="659"/>
      <c r="V22" s="659"/>
      <c r="W22" s="659"/>
      <c r="X22" s="659"/>
      <c r="Y22" s="659"/>
      <c r="Z22" s="659"/>
      <c r="AA22" s="659"/>
      <c r="AB22" s="659"/>
      <c r="AC22" s="659"/>
      <c r="AD22" s="659"/>
      <c r="AE22" s="659"/>
      <c r="AF22" s="659"/>
      <c r="AG22" s="659"/>
      <c r="AH22" s="659"/>
      <c r="AI22" s="659"/>
      <c r="AJ22" s="659"/>
      <c r="AK22" s="659"/>
      <c r="AL22" s="659"/>
      <c r="AM22" s="659"/>
      <c r="AN22" s="659"/>
      <c r="AO22" s="659"/>
      <c r="AP22" s="659"/>
      <c r="AQ22" s="659"/>
      <c r="AR22" s="659"/>
      <c r="AS22" s="659"/>
      <c r="AT22" s="659"/>
      <c r="AU22" s="665"/>
      <c r="AV22" s="987">
        <f t="shared" si="0"/>
        <v>0</v>
      </c>
      <c r="AW22" s="988">
        <f t="shared" si="0"/>
        <v>0</v>
      </c>
      <c r="AX22" s="665"/>
      <c r="AY22" s="660"/>
      <c r="AZ22" s="660">
        <f t="shared" si="1"/>
        <v>0</v>
      </c>
      <c r="BA22" s="660">
        <f t="shared" si="1"/>
        <v>0</v>
      </c>
    </row>
    <row r="23" spans="1:53" ht="16.5" x14ac:dyDescent="0.3">
      <c r="A23" s="91" t="s">
        <v>337</v>
      </c>
      <c r="B23" s="91"/>
      <c r="C23" s="793"/>
      <c r="D23" s="666"/>
      <c r="E23" s="659"/>
      <c r="F23" s="659"/>
      <c r="G23" s="659"/>
      <c r="H23" s="659"/>
      <c r="I23" s="659"/>
      <c r="J23" s="659"/>
      <c r="K23" s="659"/>
      <c r="L23" s="659"/>
      <c r="M23" s="659"/>
      <c r="N23" s="659"/>
      <c r="O23" s="659"/>
      <c r="P23" s="659"/>
      <c r="Q23" s="659"/>
      <c r="R23" s="659"/>
      <c r="S23" s="659"/>
      <c r="T23" s="659"/>
      <c r="U23" s="659"/>
      <c r="V23" s="659"/>
      <c r="W23" s="659"/>
      <c r="X23" s="659"/>
      <c r="Y23" s="659"/>
      <c r="Z23" s="659"/>
      <c r="AA23" s="659"/>
      <c r="AB23" s="659"/>
      <c r="AC23" s="659"/>
      <c r="AD23" s="659"/>
      <c r="AE23" s="659"/>
      <c r="AF23" s="659"/>
      <c r="AG23" s="659"/>
      <c r="AH23" s="659"/>
      <c r="AI23" s="659"/>
      <c r="AJ23" s="659"/>
      <c r="AK23" s="659"/>
      <c r="AL23" s="659"/>
      <c r="AM23" s="659"/>
      <c r="AN23" s="659"/>
      <c r="AO23" s="659"/>
      <c r="AP23" s="659"/>
      <c r="AQ23" s="659"/>
      <c r="AR23" s="659"/>
      <c r="AS23" s="659"/>
      <c r="AT23" s="659"/>
      <c r="AU23" s="665"/>
      <c r="AV23" s="987">
        <f t="shared" si="0"/>
        <v>0</v>
      </c>
      <c r="AW23" s="988">
        <f t="shared" si="0"/>
        <v>0</v>
      </c>
      <c r="AX23" s="665"/>
      <c r="AY23" s="660"/>
      <c r="AZ23" s="660">
        <f t="shared" si="1"/>
        <v>0</v>
      </c>
      <c r="BA23" s="660">
        <f t="shared" si="1"/>
        <v>0</v>
      </c>
    </row>
    <row r="24" spans="1:53" ht="16.5" x14ac:dyDescent="0.3">
      <c r="A24" s="114" t="s">
        <v>338</v>
      </c>
      <c r="B24" s="114"/>
      <c r="C24" s="793"/>
      <c r="D24" s="666">
        <v>88593</v>
      </c>
      <c r="E24" s="659">
        <v>91607</v>
      </c>
      <c r="F24" s="659">
        <f>4523+368+259477+27187+32414+14910</f>
        <v>338879</v>
      </c>
      <c r="G24" s="659">
        <f>4745+312+280565+31285+31990+15498</f>
        <v>364395</v>
      </c>
      <c r="H24" s="659">
        <v>2720055</v>
      </c>
      <c r="I24" s="659">
        <v>2558361</v>
      </c>
      <c r="J24" s="659">
        <v>169105</v>
      </c>
      <c r="K24" s="659">
        <v>166556</v>
      </c>
      <c r="L24" s="659">
        <f>1062548+15580</f>
        <v>1078128</v>
      </c>
      <c r="M24" s="659">
        <f>1024872+11733</f>
        <v>1036605</v>
      </c>
      <c r="N24" s="659">
        <v>32500</v>
      </c>
      <c r="O24" s="659">
        <v>35443</v>
      </c>
      <c r="P24" s="659">
        <v>157686</v>
      </c>
      <c r="Q24" s="659">
        <v>134758</v>
      </c>
      <c r="R24" s="659"/>
      <c r="S24" s="659">
        <v>183611</v>
      </c>
      <c r="T24" s="659">
        <v>53612</v>
      </c>
      <c r="U24" s="659">
        <v>57240</v>
      </c>
      <c r="V24" s="659">
        <v>7538356</v>
      </c>
      <c r="W24" s="659">
        <v>7651898</v>
      </c>
      <c r="X24" s="659">
        <v>13523235</v>
      </c>
      <c r="Y24" s="659">
        <v>14054141</v>
      </c>
      <c r="Z24" s="659">
        <v>377302</v>
      </c>
      <c r="AA24" s="659">
        <v>393293</v>
      </c>
      <c r="AB24" s="659">
        <v>721958</v>
      </c>
      <c r="AC24" s="659">
        <v>673177</v>
      </c>
      <c r="AD24" s="659">
        <v>2234793</v>
      </c>
      <c r="AE24" s="659">
        <v>2208216</v>
      </c>
      <c r="AF24" s="659">
        <v>3036555</v>
      </c>
      <c r="AG24" s="659">
        <v>2940349</v>
      </c>
      <c r="AH24" s="659">
        <v>720593</v>
      </c>
      <c r="AI24" s="659">
        <v>715374</v>
      </c>
      <c r="AJ24" s="659">
        <v>610962</v>
      </c>
      <c r="AK24" s="659">
        <v>631058</v>
      </c>
      <c r="AL24" s="659"/>
      <c r="AM24" s="659"/>
      <c r="AN24" s="659">
        <v>15359255</v>
      </c>
      <c r="AO24" s="659">
        <v>13445303</v>
      </c>
      <c r="AP24" s="659"/>
      <c r="AQ24" s="659"/>
      <c r="AR24" s="659">
        <v>238731</v>
      </c>
      <c r="AS24" s="659">
        <v>228750</v>
      </c>
      <c r="AT24" s="659">
        <v>2048885</v>
      </c>
      <c r="AU24" s="665">
        <v>1885854</v>
      </c>
      <c r="AV24" s="987">
        <f t="shared" si="0"/>
        <v>51049183</v>
      </c>
      <c r="AW24" s="988">
        <f t="shared" si="0"/>
        <v>49455989</v>
      </c>
      <c r="AX24" s="665">
        <v>2615924</v>
      </c>
      <c r="AY24" s="660">
        <v>2388583</v>
      </c>
      <c r="AZ24" s="660">
        <f t="shared" si="1"/>
        <v>53665107</v>
      </c>
      <c r="BA24" s="660">
        <f t="shared" si="1"/>
        <v>51844572</v>
      </c>
    </row>
    <row r="25" spans="1:53" ht="16.5" x14ac:dyDescent="0.3">
      <c r="A25" s="91" t="s">
        <v>339</v>
      </c>
      <c r="B25" s="91"/>
      <c r="C25" s="793"/>
      <c r="D25" s="666"/>
      <c r="E25" s="659"/>
      <c r="F25" s="659"/>
      <c r="G25" s="659"/>
      <c r="H25" s="659">
        <v>439845</v>
      </c>
      <c r="I25" s="659">
        <v>589917</v>
      </c>
      <c r="J25" s="659"/>
      <c r="K25" s="659"/>
      <c r="L25" s="659">
        <v>144691</v>
      </c>
      <c r="M25" s="659">
        <v>202545</v>
      </c>
      <c r="N25" s="659"/>
      <c r="O25" s="659"/>
      <c r="P25" s="659"/>
      <c r="Q25" s="659">
        <v>18865</v>
      </c>
      <c r="R25" s="659"/>
      <c r="S25" s="659">
        <v>35980</v>
      </c>
      <c r="T25" s="659"/>
      <c r="U25" s="659"/>
      <c r="V25" s="659"/>
      <c r="W25" s="659"/>
      <c r="X25" s="659"/>
      <c r="Y25" s="659"/>
      <c r="Z25" s="659"/>
      <c r="AA25" s="659"/>
      <c r="AB25" s="659"/>
      <c r="AC25" s="659"/>
      <c r="AD25" s="659"/>
      <c r="AE25" s="659"/>
      <c r="AF25" s="659"/>
      <c r="AG25" s="659"/>
      <c r="AH25" s="659"/>
      <c r="AI25" s="659"/>
      <c r="AJ25" s="659"/>
      <c r="AK25" s="659"/>
      <c r="AL25" s="659"/>
      <c r="AM25" s="659"/>
      <c r="AN25" s="659"/>
      <c r="AO25" s="659"/>
      <c r="AP25" s="659"/>
      <c r="AQ25" s="659"/>
      <c r="AR25" s="659">
        <v>5402</v>
      </c>
      <c r="AS25" s="659">
        <v>14653</v>
      </c>
      <c r="AT25" s="659"/>
      <c r="AU25" s="665"/>
      <c r="AV25" s="987">
        <f t="shared" si="0"/>
        <v>589938</v>
      </c>
      <c r="AW25" s="988">
        <f t="shared" si="0"/>
        <v>861960</v>
      </c>
      <c r="AX25" s="665"/>
      <c r="AY25" s="660"/>
      <c r="AZ25" s="660">
        <f t="shared" si="1"/>
        <v>589938</v>
      </c>
      <c r="BA25" s="660">
        <f t="shared" si="1"/>
        <v>861960</v>
      </c>
    </row>
    <row r="26" spans="1:53" ht="16.5" x14ac:dyDescent="0.3">
      <c r="A26" s="91" t="s">
        <v>340</v>
      </c>
      <c r="B26" s="91"/>
      <c r="C26" s="793"/>
      <c r="D26" s="666"/>
      <c r="E26" s="659"/>
      <c r="F26" s="659"/>
      <c r="G26" s="659"/>
      <c r="H26" s="659"/>
      <c r="I26" s="659"/>
      <c r="J26" s="659"/>
      <c r="K26" s="659"/>
      <c r="L26" s="659"/>
      <c r="M26" s="659"/>
      <c r="N26" s="659"/>
      <c r="O26" s="659"/>
      <c r="P26" s="659"/>
      <c r="Q26" s="659"/>
      <c r="R26" s="659"/>
      <c r="S26" s="659">
        <v>809</v>
      </c>
      <c r="T26" s="659"/>
      <c r="U26" s="659"/>
      <c r="V26" s="659"/>
      <c r="W26" s="659"/>
      <c r="X26" s="659"/>
      <c r="Y26" s="659"/>
      <c r="Z26" s="659"/>
      <c r="AA26" s="659"/>
      <c r="AB26" s="659"/>
      <c r="AC26" s="659"/>
      <c r="AD26" s="659"/>
      <c r="AE26" s="659"/>
      <c r="AF26" s="659"/>
      <c r="AG26" s="659"/>
      <c r="AH26" s="659"/>
      <c r="AI26" s="659"/>
      <c r="AJ26" s="659"/>
      <c r="AK26" s="659"/>
      <c r="AL26" s="659"/>
      <c r="AM26" s="659"/>
      <c r="AN26" s="659"/>
      <c r="AO26" s="659"/>
      <c r="AP26" s="659"/>
      <c r="AQ26" s="659"/>
      <c r="AR26" s="659"/>
      <c r="AS26" s="659"/>
      <c r="AT26" s="659"/>
      <c r="AU26" s="665"/>
      <c r="AV26" s="987">
        <f t="shared" si="0"/>
        <v>0</v>
      </c>
      <c r="AW26" s="988">
        <f t="shared" si="0"/>
        <v>809</v>
      </c>
      <c r="AX26" s="665"/>
      <c r="AY26" s="660"/>
      <c r="AZ26" s="660">
        <f t="shared" si="1"/>
        <v>0</v>
      </c>
      <c r="BA26" s="660">
        <f t="shared" si="1"/>
        <v>809</v>
      </c>
    </row>
    <row r="27" spans="1:53" ht="16.5" x14ac:dyDescent="0.3">
      <c r="A27" s="114" t="s">
        <v>341</v>
      </c>
      <c r="B27" s="114"/>
      <c r="C27" s="793"/>
      <c r="D27" s="666"/>
      <c r="E27" s="659"/>
      <c r="F27" s="659"/>
      <c r="G27" s="659"/>
      <c r="H27" s="659"/>
      <c r="I27" s="659"/>
      <c r="J27" s="659"/>
      <c r="K27" s="659"/>
      <c r="L27" s="659"/>
      <c r="M27" s="659"/>
      <c r="N27" s="659"/>
      <c r="O27" s="659"/>
      <c r="P27" s="659"/>
      <c r="Q27" s="659"/>
      <c r="R27" s="659"/>
      <c r="S27" s="659"/>
      <c r="T27" s="659"/>
      <c r="U27" s="659"/>
      <c r="V27" s="659"/>
      <c r="W27" s="659"/>
      <c r="X27" s="659">
        <v>880087</v>
      </c>
      <c r="Y27" s="659">
        <v>1027438</v>
      </c>
      <c r="Z27" s="659">
        <v>19079</v>
      </c>
      <c r="AA27" s="659">
        <v>21078</v>
      </c>
      <c r="AB27" s="659">
        <v>51921</v>
      </c>
      <c r="AC27" s="659">
        <v>44590</v>
      </c>
      <c r="AD27" s="659">
        <v>50638</v>
      </c>
      <c r="AE27" s="659">
        <v>61149</v>
      </c>
      <c r="AF27" s="659">
        <v>488468</v>
      </c>
      <c r="AG27" s="659">
        <v>403968</v>
      </c>
      <c r="AH27" s="659"/>
      <c r="AI27" s="659"/>
      <c r="AJ27" s="659">
        <v>85572</v>
      </c>
      <c r="AK27" s="659">
        <v>58831</v>
      </c>
      <c r="AL27" s="659"/>
      <c r="AM27" s="659"/>
      <c r="AN27" s="659"/>
      <c r="AO27" s="659"/>
      <c r="AP27" s="659"/>
      <c r="AQ27" s="659"/>
      <c r="AR27" s="659"/>
      <c r="AS27" s="659"/>
      <c r="AT27" s="659"/>
      <c r="AU27" s="665"/>
      <c r="AV27" s="987">
        <f t="shared" si="0"/>
        <v>1575765</v>
      </c>
      <c r="AW27" s="988">
        <f t="shared" si="0"/>
        <v>1617054</v>
      </c>
      <c r="AX27" s="665"/>
      <c r="AY27" s="660"/>
      <c r="AZ27" s="660">
        <f t="shared" si="1"/>
        <v>1575765</v>
      </c>
      <c r="BA27" s="660">
        <f t="shared" si="1"/>
        <v>1617054</v>
      </c>
    </row>
    <row r="28" spans="1:53" ht="16.5" x14ac:dyDescent="0.3">
      <c r="A28" s="91" t="s">
        <v>342</v>
      </c>
      <c r="B28" s="91">
        <v>143160</v>
      </c>
      <c r="C28" s="793">
        <v>118373</v>
      </c>
      <c r="D28" s="666">
        <v>6901</v>
      </c>
      <c r="E28" s="659">
        <v>12925</v>
      </c>
      <c r="F28" s="659"/>
      <c r="G28" s="659"/>
      <c r="H28" s="659">
        <v>198717</v>
      </c>
      <c r="I28" s="659">
        <v>173982</v>
      </c>
      <c r="J28" s="659">
        <v>7510</v>
      </c>
      <c r="K28" s="659">
        <v>4597</v>
      </c>
      <c r="L28" s="659">
        <v>70160</v>
      </c>
      <c r="M28" s="659">
        <v>59835</v>
      </c>
      <c r="N28" s="659">
        <v>3398</v>
      </c>
      <c r="O28" s="659">
        <v>5672</v>
      </c>
      <c r="P28" s="659">
        <v>16914</v>
      </c>
      <c r="Q28" s="659">
        <v>17032</v>
      </c>
      <c r="R28" s="659"/>
      <c r="S28" s="659">
        <f>11913+2728</f>
        <v>14641</v>
      </c>
      <c r="T28" s="659">
        <v>15664</v>
      </c>
      <c r="U28" s="659">
        <v>16000</v>
      </c>
      <c r="V28" s="659">
        <v>380397</v>
      </c>
      <c r="W28" s="659">
        <v>408536</v>
      </c>
      <c r="X28" s="659"/>
      <c r="Y28" s="659"/>
      <c r="Z28" s="659"/>
      <c r="AA28" s="659"/>
      <c r="AB28" s="659"/>
      <c r="AC28" s="659"/>
      <c r="AD28" s="659"/>
      <c r="AE28" s="659"/>
      <c r="AF28" s="659"/>
      <c r="AG28" s="659"/>
      <c r="AH28" s="659">
        <v>118794</v>
      </c>
      <c r="AI28" s="659">
        <v>92736</v>
      </c>
      <c r="AJ28" s="659"/>
      <c r="AK28" s="659"/>
      <c r="AL28" s="659"/>
      <c r="AM28" s="659"/>
      <c r="AN28" s="659">
        <v>945163</v>
      </c>
      <c r="AO28" s="659">
        <v>804417</v>
      </c>
      <c r="AP28" s="659">
        <v>2202</v>
      </c>
      <c r="AQ28" s="659">
        <v>2222</v>
      </c>
      <c r="AR28" s="659">
        <v>33981</v>
      </c>
      <c r="AS28" s="659">
        <v>26494</v>
      </c>
      <c r="AT28" s="659">
        <v>144416</v>
      </c>
      <c r="AU28" s="665">
        <v>118640</v>
      </c>
      <c r="AV28" s="987">
        <f t="shared" si="0"/>
        <v>2087377</v>
      </c>
      <c r="AW28" s="988">
        <f t="shared" si="0"/>
        <v>1876102</v>
      </c>
      <c r="AX28" s="665">
        <v>16278</v>
      </c>
      <c r="AY28" s="660">
        <v>6633</v>
      </c>
      <c r="AZ28" s="660">
        <f t="shared" si="1"/>
        <v>2103655</v>
      </c>
      <c r="BA28" s="660">
        <f t="shared" si="1"/>
        <v>1882735</v>
      </c>
    </row>
    <row r="29" spans="1:53" ht="16.5" x14ac:dyDescent="0.3">
      <c r="A29" s="91" t="s">
        <v>343</v>
      </c>
      <c r="B29" s="91"/>
      <c r="C29" s="793"/>
      <c r="D29" s="666">
        <v>148</v>
      </c>
      <c r="E29" s="659">
        <v>138</v>
      </c>
      <c r="F29" s="659"/>
      <c r="G29" s="659"/>
      <c r="H29" s="659"/>
      <c r="I29" s="659"/>
      <c r="J29" s="659"/>
      <c r="K29" s="659"/>
      <c r="L29" s="659">
        <v>966</v>
      </c>
      <c r="M29" s="659">
        <v>833</v>
      </c>
      <c r="N29" s="659"/>
      <c r="O29" s="659"/>
      <c r="P29" s="659"/>
      <c r="Q29" s="659"/>
      <c r="R29" s="659"/>
      <c r="S29" s="659"/>
      <c r="T29" s="659"/>
      <c r="U29" s="659"/>
      <c r="V29" s="659">
        <v>1394</v>
      </c>
      <c r="W29" s="659">
        <v>1720</v>
      </c>
      <c r="X29" s="659">
        <v>2484</v>
      </c>
      <c r="Y29" s="659">
        <v>5051</v>
      </c>
      <c r="Z29" s="659"/>
      <c r="AA29" s="659"/>
      <c r="AB29" s="659"/>
      <c r="AC29" s="659"/>
      <c r="AD29" s="659">
        <v>26</v>
      </c>
      <c r="AE29" s="659">
        <v>25</v>
      </c>
      <c r="AF29" s="659"/>
      <c r="AG29" s="659"/>
      <c r="AH29" s="659"/>
      <c r="AI29" s="659"/>
      <c r="AJ29" s="659"/>
      <c r="AK29" s="659"/>
      <c r="AL29" s="659"/>
      <c r="AM29" s="659"/>
      <c r="AN29" s="659">
        <v>21135</v>
      </c>
      <c r="AO29" s="659">
        <v>12810</v>
      </c>
      <c r="AP29" s="659"/>
      <c r="AQ29" s="659"/>
      <c r="AR29" s="659">
        <v>6</v>
      </c>
      <c r="AS29" s="659">
        <v>44</v>
      </c>
      <c r="AT29" s="659">
        <v>382</v>
      </c>
      <c r="AU29" s="665">
        <v>785</v>
      </c>
      <c r="AV29" s="987">
        <f t="shared" si="0"/>
        <v>26541</v>
      </c>
      <c r="AW29" s="988">
        <f t="shared" si="0"/>
        <v>21406</v>
      </c>
      <c r="AX29" s="665">
        <v>1443</v>
      </c>
      <c r="AY29" s="660">
        <v>1601</v>
      </c>
      <c r="AZ29" s="660">
        <f t="shared" si="1"/>
        <v>27984</v>
      </c>
      <c r="BA29" s="660">
        <f t="shared" si="1"/>
        <v>23007</v>
      </c>
    </row>
    <row r="30" spans="1:53" ht="16.5" x14ac:dyDescent="0.3">
      <c r="A30" s="91" t="s">
        <v>344</v>
      </c>
      <c r="B30" s="91">
        <v>214605</v>
      </c>
      <c r="C30" s="793">
        <v>318321</v>
      </c>
      <c r="D30" s="666"/>
      <c r="E30" s="659"/>
      <c r="F30" s="659"/>
      <c r="G30" s="659"/>
      <c r="H30" s="659"/>
      <c r="I30" s="659"/>
      <c r="J30" s="659"/>
      <c r="K30" s="659"/>
      <c r="L30" s="659"/>
      <c r="M30" s="659"/>
      <c r="N30" s="659"/>
      <c r="O30" s="659"/>
      <c r="P30" s="659"/>
      <c r="Q30" s="659"/>
      <c r="R30" s="659"/>
      <c r="S30" s="659"/>
      <c r="T30" s="659"/>
      <c r="U30" s="659"/>
      <c r="V30" s="659"/>
      <c r="W30" s="659"/>
      <c r="X30" s="659"/>
      <c r="Y30" s="659"/>
      <c r="Z30" s="659"/>
      <c r="AA30" s="659"/>
      <c r="AB30" s="659"/>
      <c r="AC30" s="659"/>
      <c r="AD30" s="659"/>
      <c r="AE30" s="659"/>
      <c r="AF30" s="659"/>
      <c r="AG30" s="659"/>
      <c r="AH30" s="659"/>
      <c r="AI30" s="659"/>
      <c r="AJ30" s="659"/>
      <c r="AK30" s="659"/>
      <c r="AL30" s="659"/>
      <c r="AM30" s="659"/>
      <c r="AN30" s="659"/>
      <c r="AO30" s="659"/>
      <c r="AP30" s="659"/>
      <c r="AQ30" s="659"/>
      <c r="AR30" s="659"/>
      <c r="AS30" s="659"/>
      <c r="AT30" s="659"/>
      <c r="AU30" s="665"/>
      <c r="AV30" s="987">
        <f t="shared" si="0"/>
        <v>214605</v>
      </c>
      <c r="AW30" s="988">
        <f t="shared" si="0"/>
        <v>318321</v>
      </c>
      <c r="AX30" s="665"/>
      <c r="AY30" s="660"/>
      <c r="AZ30" s="660">
        <f t="shared" si="1"/>
        <v>214605</v>
      </c>
      <c r="BA30" s="660">
        <f t="shared" si="1"/>
        <v>318321</v>
      </c>
    </row>
    <row r="31" spans="1:53" ht="16.5" x14ac:dyDescent="0.3">
      <c r="A31" s="91" t="s">
        <v>345</v>
      </c>
      <c r="B31" s="91"/>
      <c r="C31" s="793"/>
      <c r="D31" s="666"/>
      <c r="E31" s="659"/>
      <c r="F31" s="659"/>
      <c r="G31" s="659"/>
      <c r="H31" s="659"/>
      <c r="I31" s="659"/>
      <c r="J31" s="659"/>
      <c r="K31" s="659"/>
      <c r="L31" s="659"/>
      <c r="M31" s="659"/>
      <c r="N31" s="659"/>
      <c r="O31" s="659"/>
      <c r="P31" s="659"/>
      <c r="Q31" s="659"/>
      <c r="R31" s="659"/>
      <c r="S31" s="659"/>
      <c r="T31" s="659"/>
      <c r="U31" s="659"/>
      <c r="V31" s="659"/>
      <c r="W31" s="659"/>
      <c r="X31" s="659"/>
      <c r="Y31" s="659"/>
      <c r="Z31" s="659"/>
      <c r="AA31" s="659"/>
      <c r="AB31" s="659"/>
      <c r="AC31" s="659"/>
      <c r="AD31" s="659"/>
      <c r="AE31" s="659"/>
      <c r="AF31" s="659"/>
      <c r="AG31" s="659"/>
      <c r="AH31" s="659"/>
      <c r="AI31" s="659"/>
      <c r="AJ31" s="659"/>
      <c r="AK31" s="659"/>
      <c r="AL31" s="659"/>
      <c r="AM31" s="659"/>
      <c r="AN31" s="659"/>
      <c r="AO31" s="659"/>
      <c r="AP31" s="659"/>
      <c r="AQ31" s="659"/>
      <c r="AR31" s="659"/>
      <c r="AS31" s="659"/>
      <c r="AT31" s="659"/>
      <c r="AU31" s="665"/>
      <c r="AV31" s="987">
        <f t="shared" si="0"/>
        <v>0</v>
      </c>
      <c r="AW31" s="988">
        <f t="shared" si="0"/>
        <v>0</v>
      </c>
      <c r="AX31" s="665"/>
      <c r="AY31" s="660"/>
      <c r="AZ31" s="660">
        <f t="shared" si="1"/>
        <v>0</v>
      </c>
      <c r="BA31" s="660">
        <f t="shared" si="1"/>
        <v>0</v>
      </c>
    </row>
    <row r="32" spans="1:53" ht="16.5" x14ac:dyDescent="0.3">
      <c r="A32" s="114" t="s">
        <v>346</v>
      </c>
      <c r="B32" s="114"/>
      <c r="C32" s="793"/>
      <c r="D32" s="666"/>
      <c r="E32" s="659"/>
      <c r="F32" s="659">
        <v>9042</v>
      </c>
      <c r="G32" s="659">
        <v>9007</v>
      </c>
      <c r="H32" s="659"/>
      <c r="I32" s="659"/>
      <c r="J32" s="659">
        <v>18641</v>
      </c>
      <c r="K32" s="659">
        <v>15366</v>
      </c>
      <c r="L32" s="659">
        <v>60488</v>
      </c>
      <c r="M32" s="659">
        <v>61601</v>
      </c>
      <c r="N32" s="659">
        <v>4822</v>
      </c>
      <c r="O32" s="659">
        <v>3703</v>
      </c>
      <c r="P32" s="659">
        <v>1911</v>
      </c>
      <c r="Q32" s="659">
        <v>958</v>
      </c>
      <c r="R32" s="659"/>
      <c r="S32" s="659">
        <v>40458</v>
      </c>
      <c r="T32" s="659">
        <v>29888</v>
      </c>
      <c r="U32" s="659">
        <v>30416</v>
      </c>
      <c r="V32" s="659">
        <v>123543</v>
      </c>
      <c r="W32" s="659">
        <v>94090</v>
      </c>
      <c r="X32" s="659"/>
      <c r="Y32" s="659"/>
      <c r="Z32" s="659">
        <v>19977</v>
      </c>
      <c r="AA32" s="659">
        <v>14156</v>
      </c>
      <c r="AB32" s="659">
        <v>29198</v>
      </c>
      <c r="AC32" s="659">
        <v>27424</v>
      </c>
      <c r="AD32" s="659">
        <v>36728</v>
      </c>
      <c r="AE32" s="659">
        <v>33873</v>
      </c>
      <c r="AF32" s="659"/>
      <c r="AG32" s="659"/>
      <c r="AH32" s="659"/>
      <c r="AI32" s="659"/>
      <c r="AJ32" s="659">
        <v>40666</v>
      </c>
      <c r="AK32" s="659">
        <v>39313</v>
      </c>
      <c r="AL32" s="659"/>
      <c r="AM32" s="659"/>
      <c r="AN32" s="659">
        <v>114274</v>
      </c>
      <c r="AO32" s="659">
        <v>99364</v>
      </c>
      <c r="AP32" s="659">
        <f>85+6187</f>
        <v>6272</v>
      </c>
      <c r="AQ32" s="659">
        <f>2159+80</f>
        <v>2239</v>
      </c>
      <c r="AR32" s="659">
        <v>27437</v>
      </c>
      <c r="AS32" s="659">
        <v>26937</v>
      </c>
      <c r="AT32" s="659">
        <v>108564</v>
      </c>
      <c r="AU32" s="665">
        <v>109585</v>
      </c>
      <c r="AV32" s="987">
        <f t="shared" si="0"/>
        <v>631451</v>
      </c>
      <c r="AW32" s="988">
        <f t="shared" si="0"/>
        <v>608490</v>
      </c>
      <c r="AX32" s="665">
        <v>391867</v>
      </c>
      <c r="AY32" s="660">
        <v>183443</v>
      </c>
      <c r="AZ32" s="660">
        <f t="shared" si="1"/>
        <v>1023318</v>
      </c>
      <c r="BA32" s="660">
        <f t="shared" si="1"/>
        <v>791933</v>
      </c>
    </row>
    <row r="33" spans="1:53" ht="16.5" x14ac:dyDescent="0.3">
      <c r="A33" s="91" t="s">
        <v>275</v>
      </c>
      <c r="B33" s="91"/>
      <c r="C33" s="793"/>
      <c r="D33" s="666"/>
      <c r="E33" s="659"/>
      <c r="F33" s="659"/>
      <c r="G33" s="659"/>
      <c r="H33" s="659">
        <v>125532</v>
      </c>
      <c r="I33" s="659">
        <v>115876</v>
      </c>
      <c r="J33" s="659"/>
      <c r="K33" s="659"/>
      <c r="L33" s="659"/>
      <c r="M33" s="659"/>
      <c r="N33" s="659"/>
      <c r="O33" s="659"/>
      <c r="P33" s="659"/>
      <c r="Q33" s="659"/>
      <c r="R33" s="659"/>
      <c r="S33" s="659"/>
      <c r="T33" s="659"/>
      <c r="U33" s="659"/>
      <c r="V33" s="659"/>
      <c r="W33" s="659"/>
      <c r="X33" s="659"/>
      <c r="Y33" s="659"/>
      <c r="Z33" s="659"/>
      <c r="AA33" s="659"/>
      <c r="AB33" s="659"/>
      <c r="AC33" s="659"/>
      <c r="AD33" s="659"/>
      <c r="AE33" s="659"/>
      <c r="AF33" s="659"/>
      <c r="AG33" s="659"/>
      <c r="AH33" s="659"/>
      <c r="AI33" s="659"/>
      <c r="AJ33" s="659"/>
      <c r="AK33" s="659"/>
      <c r="AL33" s="659"/>
      <c r="AM33" s="659"/>
      <c r="AN33" s="659"/>
      <c r="AO33" s="659"/>
      <c r="AP33" s="659"/>
      <c r="AQ33" s="659"/>
      <c r="AR33" s="659"/>
      <c r="AS33" s="659"/>
      <c r="AT33" s="659"/>
      <c r="AU33" s="665"/>
      <c r="AV33" s="987">
        <f t="shared" si="0"/>
        <v>125532</v>
      </c>
      <c r="AW33" s="988">
        <f t="shared" si="0"/>
        <v>115876</v>
      </c>
      <c r="AX33" s="665"/>
      <c r="AY33" s="660"/>
      <c r="AZ33" s="660">
        <f t="shared" si="1"/>
        <v>125532</v>
      </c>
      <c r="BA33" s="660">
        <f t="shared" si="1"/>
        <v>115876</v>
      </c>
    </row>
    <row r="34" spans="1:53" ht="16.5" x14ac:dyDescent="0.3">
      <c r="A34" s="91" t="s">
        <v>334</v>
      </c>
      <c r="B34" s="91"/>
      <c r="C34" s="793"/>
      <c r="D34" s="666">
        <v>20903</v>
      </c>
      <c r="E34" s="659">
        <v>20784</v>
      </c>
      <c r="F34" s="659"/>
      <c r="G34" s="659"/>
      <c r="H34" s="659"/>
      <c r="I34" s="659"/>
      <c r="J34" s="659"/>
      <c r="K34" s="659"/>
      <c r="L34" s="659"/>
      <c r="M34" s="659"/>
      <c r="N34" s="659"/>
      <c r="O34" s="659"/>
      <c r="P34" s="659"/>
      <c r="Q34" s="659"/>
      <c r="R34" s="659"/>
      <c r="S34" s="659"/>
      <c r="T34" s="659"/>
      <c r="U34" s="659"/>
      <c r="V34" s="659"/>
      <c r="W34" s="659"/>
      <c r="X34" s="659">
        <v>166927</v>
      </c>
      <c r="Y34" s="659">
        <v>138332</v>
      </c>
      <c r="Z34" s="659"/>
      <c r="AA34" s="659"/>
      <c r="AB34" s="659"/>
      <c r="AC34" s="659"/>
      <c r="AD34" s="659"/>
      <c r="AE34" s="659"/>
      <c r="AF34" s="659">
        <v>358028</v>
      </c>
      <c r="AG34" s="659">
        <v>323692</v>
      </c>
      <c r="AH34" s="659">
        <v>83392</v>
      </c>
      <c r="AI34" s="659">
        <v>84109</v>
      </c>
      <c r="AJ34" s="659"/>
      <c r="AK34" s="659"/>
      <c r="AL34" s="659"/>
      <c r="AM34" s="659"/>
      <c r="AN34" s="659"/>
      <c r="AO34" s="659"/>
      <c r="AP34" s="659"/>
      <c r="AQ34" s="659"/>
      <c r="AR34" s="659"/>
      <c r="AS34" s="659"/>
      <c r="AT34" s="659"/>
      <c r="AU34" s="665"/>
      <c r="AV34" s="987">
        <f t="shared" si="0"/>
        <v>629250</v>
      </c>
      <c r="AW34" s="988">
        <f t="shared" si="0"/>
        <v>566917</v>
      </c>
      <c r="AX34" s="665"/>
      <c r="AY34" s="660"/>
      <c r="AZ34" s="660">
        <f t="shared" si="1"/>
        <v>629250</v>
      </c>
      <c r="BA34" s="660">
        <f t="shared" si="1"/>
        <v>566917</v>
      </c>
    </row>
    <row r="35" spans="1:53" ht="16.5" x14ac:dyDescent="0.3">
      <c r="A35" s="91" t="s">
        <v>73</v>
      </c>
      <c r="B35" s="91"/>
      <c r="C35" s="793"/>
      <c r="D35" s="666"/>
      <c r="E35" s="659"/>
      <c r="F35" s="659"/>
      <c r="G35" s="659"/>
      <c r="H35" s="659"/>
      <c r="I35" s="659"/>
      <c r="J35" s="659"/>
      <c r="K35" s="659"/>
      <c r="L35" s="659"/>
      <c r="M35" s="659"/>
      <c r="N35" s="659"/>
      <c r="O35" s="659"/>
      <c r="P35" s="659"/>
      <c r="Q35" s="659"/>
      <c r="R35" s="659"/>
      <c r="S35" s="659"/>
      <c r="T35" s="659"/>
      <c r="U35" s="659"/>
      <c r="V35" s="659"/>
      <c r="W35" s="659"/>
      <c r="X35" s="659"/>
      <c r="Y35" s="659"/>
      <c r="Z35" s="659"/>
      <c r="AA35" s="659"/>
      <c r="AB35" s="659"/>
      <c r="AC35" s="659"/>
      <c r="AD35" s="659"/>
      <c r="AE35" s="659"/>
      <c r="AF35" s="659"/>
      <c r="AG35" s="659"/>
      <c r="AH35" s="659"/>
      <c r="AI35" s="659"/>
      <c r="AJ35" s="659"/>
      <c r="AK35" s="659"/>
      <c r="AL35" s="659"/>
      <c r="AM35" s="659"/>
      <c r="AN35" s="659"/>
      <c r="AO35" s="659"/>
      <c r="AP35" s="659"/>
      <c r="AQ35" s="659"/>
      <c r="AR35" s="659"/>
      <c r="AS35" s="659"/>
      <c r="AT35" s="659"/>
      <c r="AU35" s="665"/>
      <c r="AV35" s="987">
        <f t="shared" si="0"/>
        <v>0</v>
      </c>
      <c r="AW35" s="988">
        <f t="shared" si="0"/>
        <v>0</v>
      </c>
      <c r="AX35" s="665"/>
      <c r="AY35" s="660"/>
      <c r="AZ35" s="660">
        <f t="shared" si="1"/>
        <v>0</v>
      </c>
      <c r="BA35" s="660">
        <f t="shared" si="1"/>
        <v>0</v>
      </c>
    </row>
    <row r="36" spans="1:53" s="150" customFormat="1" ht="18" x14ac:dyDescent="0.35">
      <c r="A36" s="114" t="s">
        <v>347</v>
      </c>
      <c r="B36" s="114">
        <v>6826252</v>
      </c>
      <c r="C36" s="794">
        <v>5911867</v>
      </c>
      <c r="D36" s="795">
        <v>698801</v>
      </c>
      <c r="E36" s="797">
        <v>640099</v>
      </c>
      <c r="F36" s="797">
        <v>1404234</v>
      </c>
      <c r="G36" s="797">
        <v>1316436</v>
      </c>
      <c r="H36" s="797">
        <v>9073946</v>
      </c>
      <c r="I36" s="797">
        <v>8591306</v>
      </c>
      <c r="J36" s="797">
        <v>1674500</v>
      </c>
      <c r="K36" s="797">
        <v>1457502</v>
      </c>
      <c r="L36" s="797">
        <v>3054889</v>
      </c>
      <c r="M36" s="797">
        <v>2654851</v>
      </c>
      <c r="N36" s="797">
        <v>767050</v>
      </c>
      <c r="O36" s="797">
        <v>663481</v>
      </c>
      <c r="P36" s="797">
        <v>901981</v>
      </c>
      <c r="Q36" s="797">
        <v>764997</v>
      </c>
      <c r="R36" s="797"/>
      <c r="S36" s="797">
        <v>2128308</v>
      </c>
      <c r="T36" s="797">
        <v>965135</v>
      </c>
      <c r="U36" s="797">
        <v>836046</v>
      </c>
      <c r="V36" s="797">
        <v>23961915</v>
      </c>
      <c r="W36" s="797">
        <v>20416053</v>
      </c>
      <c r="X36" s="797">
        <v>25015689</v>
      </c>
      <c r="Y36" s="797">
        <v>23918518</v>
      </c>
      <c r="Z36" s="797">
        <v>1528278</v>
      </c>
      <c r="AA36" s="797">
        <v>1408806</v>
      </c>
      <c r="AB36" s="797">
        <v>2208971</v>
      </c>
      <c r="AC36" s="797">
        <v>1945149</v>
      </c>
      <c r="AD36" s="797">
        <v>6344150</v>
      </c>
      <c r="AE36" s="797">
        <v>5525503</v>
      </c>
      <c r="AF36" s="797">
        <v>12425525</v>
      </c>
      <c r="AG36" s="797">
        <v>10833352</v>
      </c>
      <c r="AH36" s="797">
        <v>4068307</v>
      </c>
      <c r="AI36" s="797">
        <v>3525335</v>
      </c>
      <c r="AJ36" s="797">
        <v>3107709</v>
      </c>
      <c r="AK36" s="797">
        <v>2811431</v>
      </c>
      <c r="AL36" s="797"/>
      <c r="AM36" s="797"/>
      <c r="AN36" s="797">
        <v>30958656</v>
      </c>
      <c r="AO36" s="797">
        <v>26820720</v>
      </c>
      <c r="AP36" s="797">
        <v>948950</v>
      </c>
      <c r="AQ36" s="797">
        <v>798540</v>
      </c>
      <c r="AR36" s="797">
        <v>1934519</v>
      </c>
      <c r="AS36" s="797">
        <v>1503212</v>
      </c>
      <c r="AT36" s="797">
        <v>7136401</v>
      </c>
      <c r="AU36" s="798">
        <v>5879311</v>
      </c>
      <c r="AV36" s="987">
        <f t="shared" si="0"/>
        <v>145005858</v>
      </c>
      <c r="AW36" s="989">
        <f t="shared" si="0"/>
        <v>130350823</v>
      </c>
      <c r="AX36" s="798">
        <v>449113144</v>
      </c>
      <c r="AY36" s="796">
        <v>415934516</v>
      </c>
      <c r="AZ36" s="660">
        <f t="shared" si="1"/>
        <v>594119002</v>
      </c>
      <c r="BA36" s="796">
        <f t="shared" si="1"/>
        <v>546285339</v>
      </c>
    </row>
    <row r="37" spans="1:53" ht="16.5" x14ac:dyDescent="0.3">
      <c r="A37" s="114" t="s">
        <v>348</v>
      </c>
      <c r="B37" s="114"/>
      <c r="C37" s="793"/>
      <c r="D37" s="666"/>
      <c r="E37" s="659"/>
      <c r="F37" s="659"/>
      <c r="G37" s="659"/>
      <c r="H37" s="659"/>
      <c r="I37" s="659"/>
      <c r="J37" s="659"/>
      <c r="K37" s="659"/>
      <c r="L37" s="659"/>
      <c r="M37" s="659"/>
      <c r="N37" s="659"/>
      <c r="O37" s="659"/>
      <c r="P37" s="659"/>
      <c r="Q37" s="659"/>
      <c r="R37" s="659"/>
      <c r="S37" s="659"/>
      <c r="T37" s="659"/>
      <c r="U37" s="659"/>
      <c r="V37" s="659"/>
      <c r="W37" s="659"/>
      <c r="X37" s="659"/>
      <c r="Y37" s="659"/>
      <c r="Z37" s="659"/>
      <c r="AA37" s="659"/>
      <c r="AB37" s="659"/>
      <c r="AC37" s="659"/>
      <c r="AD37" s="659"/>
      <c r="AE37" s="659"/>
      <c r="AF37" s="659"/>
      <c r="AG37" s="659"/>
      <c r="AH37" s="659"/>
      <c r="AI37" s="659"/>
      <c r="AJ37" s="659"/>
      <c r="AK37" s="659"/>
      <c r="AL37" s="659"/>
      <c r="AM37" s="659"/>
      <c r="AN37" s="659"/>
      <c r="AO37" s="659"/>
      <c r="AP37" s="659"/>
      <c r="AQ37" s="659"/>
      <c r="AR37" s="659"/>
      <c r="AS37" s="659"/>
      <c r="AT37" s="659"/>
      <c r="AU37" s="665"/>
      <c r="AV37" s="987">
        <f t="shared" ref="AV37:AV69" si="4">SUM(B37+D37+F37+H37+J37+L37+N37+P37+R37+T37+V37+X37+Z37+AB37+AD37+AF37+AH37+AJ37+AL37+AN37+AP37+AR37+AT37)</f>
        <v>0</v>
      </c>
      <c r="AW37" s="988">
        <f t="shared" ref="AW37:AW68" si="5">SUM(C37+E37+G37+I37+K37+M37+O37+Q37+S37+U37+W37+Y37+AA37+AC37+AE37+AG37+AI37+AK37+AM37+AO37+AQ37+AS37+AU37)</f>
        <v>0</v>
      </c>
      <c r="AX37" s="665"/>
      <c r="AY37" s="660"/>
      <c r="AZ37" s="660">
        <f t="shared" si="1"/>
        <v>0</v>
      </c>
      <c r="BA37" s="660">
        <f t="shared" si="1"/>
        <v>0</v>
      </c>
    </row>
    <row r="38" spans="1:53" ht="16.5" x14ac:dyDescent="0.3">
      <c r="A38" s="114" t="s">
        <v>349</v>
      </c>
      <c r="B38" s="114"/>
      <c r="C38" s="793"/>
      <c r="D38" s="666"/>
      <c r="E38" s="659"/>
      <c r="F38" s="659"/>
      <c r="G38" s="659"/>
      <c r="H38" s="659"/>
      <c r="I38" s="659"/>
      <c r="J38" s="659"/>
      <c r="K38" s="659"/>
      <c r="L38" s="659"/>
      <c r="M38" s="659"/>
      <c r="N38" s="659"/>
      <c r="O38" s="659"/>
      <c r="P38" s="659"/>
      <c r="Q38" s="659"/>
      <c r="R38" s="659"/>
      <c r="S38" s="659"/>
      <c r="T38" s="659"/>
      <c r="U38" s="659"/>
      <c r="V38" s="659"/>
      <c r="W38" s="659"/>
      <c r="X38" s="659"/>
      <c r="Y38" s="659"/>
      <c r="Z38" s="659"/>
      <c r="AA38" s="659"/>
      <c r="AB38" s="659"/>
      <c r="AC38" s="659"/>
      <c r="AD38" s="659"/>
      <c r="AE38" s="659"/>
      <c r="AF38" s="659"/>
      <c r="AG38" s="659"/>
      <c r="AH38" s="659"/>
      <c r="AI38" s="659"/>
      <c r="AJ38" s="659"/>
      <c r="AK38" s="659"/>
      <c r="AL38" s="659"/>
      <c r="AM38" s="659"/>
      <c r="AN38" s="659"/>
      <c r="AO38" s="659"/>
      <c r="AP38" s="659"/>
      <c r="AQ38" s="659"/>
      <c r="AR38" s="659"/>
      <c r="AS38" s="659"/>
      <c r="AT38" s="659"/>
      <c r="AU38" s="665"/>
      <c r="AV38" s="987">
        <f t="shared" si="4"/>
        <v>0</v>
      </c>
      <c r="AW38" s="988">
        <f t="shared" si="5"/>
        <v>0</v>
      </c>
      <c r="AX38" s="665"/>
      <c r="AY38" s="660"/>
      <c r="AZ38" s="660">
        <f t="shared" si="1"/>
        <v>0</v>
      </c>
      <c r="BA38" s="660">
        <f t="shared" si="1"/>
        <v>0</v>
      </c>
    </row>
    <row r="39" spans="1:53" ht="16.5" x14ac:dyDescent="0.3">
      <c r="A39" s="91" t="s">
        <v>350</v>
      </c>
      <c r="B39" s="91">
        <v>329805</v>
      </c>
      <c r="C39" s="793">
        <v>292148</v>
      </c>
      <c r="D39" s="666">
        <v>11567</v>
      </c>
      <c r="E39" s="659">
        <v>9775</v>
      </c>
      <c r="F39" s="659">
        <v>51566</v>
      </c>
      <c r="G39" s="659">
        <v>50509</v>
      </c>
      <c r="H39" s="659">
        <v>1082053</v>
      </c>
      <c r="I39" s="659">
        <v>1100132</v>
      </c>
      <c r="J39" s="659">
        <v>56891</v>
      </c>
      <c r="K39" s="659">
        <v>55375</v>
      </c>
      <c r="L39" s="659">
        <v>136537</v>
      </c>
      <c r="M39" s="659">
        <v>126429</v>
      </c>
      <c r="N39" s="659">
        <v>81186</v>
      </c>
      <c r="O39" s="659">
        <v>76655</v>
      </c>
      <c r="P39" s="659">
        <v>44649</v>
      </c>
      <c r="Q39" s="659">
        <v>34411</v>
      </c>
      <c r="R39" s="659"/>
      <c r="S39" s="659">
        <v>118297</v>
      </c>
      <c r="T39" s="659">
        <v>28972</v>
      </c>
      <c r="U39" s="659">
        <v>19917</v>
      </c>
      <c r="V39" s="659">
        <v>1313191</v>
      </c>
      <c r="W39" s="659">
        <v>1523790</v>
      </c>
      <c r="X39" s="659">
        <v>984677</v>
      </c>
      <c r="Y39" s="659">
        <v>984688</v>
      </c>
      <c r="Z39" s="659">
        <v>74904</v>
      </c>
      <c r="AA39" s="659">
        <v>71515</v>
      </c>
      <c r="AB39" s="659">
        <v>82429</v>
      </c>
      <c r="AC39" s="659">
        <v>57569</v>
      </c>
      <c r="AD39" s="659">
        <v>513358</v>
      </c>
      <c r="AE39" s="659">
        <v>376254</v>
      </c>
      <c r="AF39" s="659">
        <v>550425</v>
      </c>
      <c r="AG39" s="659">
        <v>514770</v>
      </c>
      <c r="AH39" s="659">
        <v>182017</v>
      </c>
      <c r="AI39" s="659">
        <v>171936</v>
      </c>
      <c r="AJ39" s="659">
        <v>142764</v>
      </c>
      <c r="AK39" s="659">
        <v>130136</v>
      </c>
      <c r="AL39" s="659"/>
      <c r="AM39" s="659"/>
      <c r="AN39" s="659">
        <v>1120870</v>
      </c>
      <c r="AO39" s="659">
        <v>1007582</v>
      </c>
      <c r="AP39" s="659">
        <v>72984</v>
      </c>
      <c r="AQ39" s="659">
        <v>67982</v>
      </c>
      <c r="AR39" s="659">
        <v>104503</v>
      </c>
      <c r="AS39" s="659">
        <v>65041</v>
      </c>
      <c r="AT39" s="659">
        <v>228164</v>
      </c>
      <c r="AU39" s="665">
        <v>221893</v>
      </c>
      <c r="AV39" s="987">
        <f t="shared" si="4"/>
        <v>7193512</v>
      </c>
      <c r="AW39" s="988">
        <f t="shared" si="5"/>
        <v>7076804</v>
      </c>
      <c r="AX39" s="665">
        <v>2936352</v>
      </c>
      <c r="AY39" s="660">
        <v>641213</v>
      </c>
      <c r="AZ39" s="660">
        <f t="shared" si="1"/>
        <v>10129864</v>
      </c>
      <c r="BA39" s="660">
        <f t="shared" si="1"/>
        <v>7718017</v>
      </c>
    </row>
    <row r="40" spans="1:53" ht="16.5" x14ac:dyDescent="0.3">
      <c r="A40" s="91" t="s">
        <v>351</v>
      </c>
      <c r="B40" s="91">
        <v>3624563</v>
      </c>
      <c r="C40" s="793">
        <v>2771406</v>
      </c>
      <c r="D40" s="666">
        <v>301070</v>
      </c>
      <c r="E40" s="659">
        <v>252939</v>
      </c>
      <c r="F40" s="659">
        <v>833779</v>
      </c>
      <c r="G40" s="659">
        <v>731052</v>
      </c>
      <c r="H40" s="659">
        <v>4598141</v>
      </c>
      <c r="I40" s="659">
        <v>4119487</v>
      </c>
      <c r="J40" s="659">
        <v>1059238</v>
      </c>
      <c r="K40" s="659">
        <v>875951</v>
      </c>
      <c r="L40" s="659">
        <v>1589958</v>
      </c>
      <c r="M40" s="659">
        <v>1203181</v>
      </c>
      <c r="N40" s="659">
        <v>604380</v>
      </c>
      <c r="O40" s="659">
        <v>498514</v>
      </c>
      <c r="P40" s="659">
        <v>444477</v>
      </c>
      <c r="Q40" s="659">
        <v>343456</v>
      </c>
      <c r="R40" s="659"/>
      <c r="S40" s="659">
        <v>1618742</v>
      </c>
      <c r="T40" s="659">
        <v>609249</v>
      </c>
      <c r="U40" s="659">
        <v>506187</v>
      </c>
      <c r="V40" s="659">
        <v>14644850</v>
      </c>
      <c r="W40" s="659">
        <v>10831097</v>
      </c>
      <c r="X40" s="659">
        <v>9431095</v>
      </c>
      <c r="Y40" s="659">
        <v>7738800</v>
      </c>
      <c r="Z40" s="659">
        <v>996857</v>
      </c>
      <c r="AA40" s="659">
        <v>865767</v>
      </c>
      <c r="AB40" s="659">
        <v>1285233</v>
      </c>
      <c r="AC40" s="659">
        <v>1096298</v>
      </c>
      <c r="AD40" s="659">
        <v>3619209</v>
      </c>
      <c r="AE40" s="659">
        <v>2903220</v>
      </c>
      <c r="AF40" s="659">
        <v>8210212</v>
      </c>
      <c r="AG40" s="659">
        <v>6891871</v>
      </c>
      <c r="AH40" s="659">
        <v>2956295</v>
      </c>
      <c r="AI40" s="659">
        <v>2457843</v>
      </c>
      <c r="AJ40" s="659">
        <v>2221597</v>
      </c>
      <c r="AK40" s="659">
        <v>1941825</v>
      </c>
      <c r="AL40" s="659"/>
      <c r="AM40" s="659"/>
      <c r="AN40" s="659">
        <v>12987024</v>
      </c>
      <c r="AO40" s="659">
        <v>11213066</v>
      </c>
      <c r="AP40" s="659">
        <v>785311</v>
      </c>
      <c r="AQ40" s="659">
        <v>653347</v>
      </c>
      <c r="AR40" s="659">
        <v>1488867</v>
      </c>
      <c r="AS40" s="659">
        <v>1117421</v>
      </c>
      <c r="AT40" s="659">
        <v>4678801</v>
      </c>
      <c r="AU40" s="665">
        <v>3629792</v>
      </c>
      <c r="AV40" s="987">
        <f t="shared" si="4"/>
        <v>76970206</v>
      </c>
      <c r="AW40" s="988">
        <f t="shared" si="5"/>
        <v>64261262</v>
      </c>
      <c r="AX40" s="665">
        <v>418917775</v>
      </c>
      <c r="AY40" s="660">
        <v>389569349</v>
      </c>
      <c r="AZ40" s="660">
        <f t="shared" si="1"/>
        <v>495887981</v>
      </c>
      <c r="BA40" s="660">
        <f t="shared" si="1"/>
        <v>453830611</v>
      </c>
    </row>
    <row r="41" spans="1:53" ht="16.5" x14ac:dyDescent="0.3">
      <c r="A41" s="91" t="s">
        <v>352</v>
      </c>
      <c r="B41" s="91">
        <v>3050742</v>
      </c>
      <c r="C41" s="793">
        <v>3016019</v>
      </c>
      <c r="D41" s="666">
        <v>95642</v>
      </c>
      <c r="E41" s="659">
        <v>104670</v>
      </c>
      <c r="F41" s="659">
        <v>347507</v>
      </c>
      <c r="G41" s="659">
        <v>373092</v>
      </c>
      <c r="H41" s="659">
        <v>3358617</v>
      </c>
      <c r="I41" s="659">
        <v>3322261</v>
      </c>
      <c r="J41" s="659">
        <v>176614</v>
      </c>
      <c r="K41" s="659">
        <v>171154</v>
      </c>
      <c r="L41" s="659">
        <v>1293945</v>
      </c>
      <c r="M41" s="659">
        <v>1299818</v>
      </c>
      <c r="N41" s="659">
        <v>35897</v>
      </c>
      <c r="O41" s="659">
        <v>41115</v>
      </c>
      <c r="P41" s="659">
        <v>174600</v>
      </c>
      <c r="Q41" s="659">
        <v>170655</v>
      </c>
      <c r="R41" s="659"/>
      <c r="S41" s="659">
        <v>231204</v>
      </c>
      <c r="T41" s="659">
        <v>69276</v>
      </c>
      <c r="U41" s="659">
        <v>73240</v>
      </c>
      <c r="V41" s="659">
        <v>7920147</v>
      </c>
      <c r="W41" s="659">
        <v>8062154</v>
      </c>
      <c r="X41" s="659">
        <v>14405806</v>
      </c>
      <c r="Y41" s="659">
        <v>15086630</v>
      </c>
      <c r="Z41" s="659">
        <v>396383</v>
      </c>
      <c r="AA41" s="659">
        <v>414373</v>
      </c>
      <c r="AB41" s="659">
        <v>773880</v>
      </c>
      <c r="AC41" s="659">
        <v>717768</v>
      </c>
      <c r="AD41" s="659">
        <v>2285457</v>
      </c>
      <c r="AE41" s="659">
        <v>2269390</v>
      </c>
      <c r="AF41" s="659">
        <v>3525023</v>
      </c>
      <c r="AG41" s="659">
        <v>3344318</v>
      </c>
      <c r="AH41" s="659">
        <v>839387</v>
      </c>
      <c r="AI41" s="659">
        <v>808110</v>
      </c>
      <c r="AJ41" s="659">
        <v>696535</v>
      </c>
      <c r="AK41" s="659">
        <v>689889</v>
      </c>
      <c r="AL41" s="659"/>
      <c r="AM41" s="659"/>
      <c r="AN41" s="659">
        <v>16325554</v>
      </c>
      <c r="AO41" s="659">
        <v>14262531</v>
      </c>
      <c r="AP41" s="659">
        <v>42882</v>
      </c>
      <c r="AQ41" s="659">
        <v>46957</v>
      </c>
      <c r="AR41" s="659">
        <v>278119</v>
      </c>
      <c r="AS41" s="659">
        <v>269941</v>
      </c>
      <c r="AT41" s="659">
        <v>2193684</v>
      </c>
      <c r="AU41" s="665">
        <v>2005279</v>
      </c>
      <c r="AV41" s="987">
        <f t="shared" si="4"/>
        <v>58285697</v>
      </c>
      <c r="AW41" s="988">
        <f t="shared" si="5"/>
        <v>56780568</v>
      </c>
      <c r="AX41" s="665">
        <v>2630954</v>
      </c>
      <c r="AY41" s="660">
        <v>2393863</v>
      </c>
      <c r="AZ41" s="660">
        <f t="shared" si="1"/>
        <v>60916651</v>
      </c>
      <c r="BA41" s="660">
        <f t="shared" si="1"/>
        <v>59174431</v>
      </c>
    </row>
    <row r="42" spans="1:53" ht="16.5" x14ac:dyDescent="0.3">
      <c r="A42" s="91" t="s">
        <v>353</v>
      </c>
      <c r="B42" s="91"/>
      <c r="C42" s="793"/>
      <c r="D42" s="666"/>
      <c r="E42" s="659"/>
      <c r="F42" s="659"/>
      <c r="G42" s="659"/>
      <c r="H42" s="659"/>
      <c r="I42" s="659"/>
      <c r="J42" s="659"/>
      <c r="K42" s="659"/>
      <c r="L42" s="659"/>
      <c r="M42" s="659"/>
      <c r="N42" s="659"/>
      <c r="O42" s="659"/>
      <c r="P42" s="659"/>
      <c r="Q42" s="659"/>
      <c r="R42" s="659"/>
      <c r="S42" s="659"/>
      <c r="T42" s="659"/>
      <c r="U42" s="659"/>
      <c r="V42" s="659"/>
      <c r="W42" s="659"/>
      <c r="X42" s="659"/>
      <c r="Y42" s="659"/>
      <c r="Z42" s="659"/>
      <c r="AA42" s="659"/>
      <c r="AB42" s="659"/>
      <c r="AC42" s="659"/>
      <c r="AD42" s="659"/>
      <c r="AE42" s="659"/>
      <c r="AF42" s="659"/>
      <c r="AG42" s="659"/>
      <c r="AH42" s="659"/>
      <c r="AI42" s="659"/>
      <c r="AJ42" s="659"/>
      <c r="AK42" s="659"/>
      <c r="AL42" s="659"/>
      <c r="AM42" s="659"/>
      <c r="AN42" s="659"/>
      <c r="AO42" s="659"/>
      <c r="AP42" s="659"/>
      <c r="AQ42" s="659"/>
      <c r="AR42" s="659"/>
      <c r="AS42" s="659"/>
      <c r="AT42" s="659"/>
      <c r="AU42" s="665"/>
      <c r="AV42" s="987">
        <f t="shared" si="4"/>
        <v>0</v>
      </c>
      <c r="AW42" s="988">
        <f t="shared" si="5"/>
        <v>0</v>
      </c>
      <c r="AX42" s="665"/>
      <c r="AY42" s="660"/>
      <c r="AZ42" s="660">
        <f t="shared" si="1"/>
        <v>0</v>
      </c>
      <c r="BA42" s="660">
        <f t="shared" si="1"/>
        <v>0</v>
      </c>
    </row>
    <row r="43" spans="1:53" ht="16.5" x14ac:dyDescent="0.3">
      <c r="A43" s="91" t="s">
        <v>354</v>
      </c>
      <c r="B43" s="91">
        <v>40573</v>
      </c>
      <c r="C43" s="793">
        <v>29406</v>
      </c>
      <c r="D43" s="666">
        <v>7524</v>
      </c>
      <c r="E43" s="659">
        <v>7521</v>
      </c>
      <c r="F43" s="659"/>
      <c r="G43" s="659"/>
      <c r="H43" s="659">
        <v>58428</v>
      </c>
      <c r="I43" s="659">
        <v>51495</v>
      </c>
      <c r="J43" s="659">
        <v>3922</v>
      </c>
      <c r="K43" s="659">
        <v>3300</v>
      </c>
      <c r="L43" s="659">
        <v>2215</v>
      </c>
      <c r="M43" s="659">
        <v>826</v>
      </c>
      <c r="N43" s="659">
        <v>11964</v>
      </c>
      <c r="O43" s="659">
        <v>9096</v>
      </c>
      <c r="P43" s="659">
        <v>3550</v>
      </c>
      <c r="Q43" s="659">
        <v>2087</v>
      </c>
      <c r="R43" s="659"/>
      <c r="S43" s="659">
        <v>62910</v>
      </c>
      <c r="T43" s="659">
        <v>7702</v>
      </c>
      <c r="U43" s="659">
        <v>4112</v>
      </c>
      <c r="V43" s="659">
        <v>158531</v>
      </c>
      <c r="W43" s="659">
        <v>64283</v>
      </c>
      <c r="X43" s="659">
        <v>131412</v>
      </c>
      <c r="Y43" s="659">
        <v>94012</v>
      </c>
      <c r="Z43" s="659">
        <v>2048</v>
      </c>
      <c r="AA43" s="659">
        <v>1395</v>
      </c>
      <c r="AB43" s="659">
        <v>3370</v>
      </c>
      <c r="AC43" s="659">
        <v>2322</v>
      </c>
      <c r="AD43" s="659">
        <v>10460</v>
      </c>
      <c r="AE43" s="659">
        <v>7397</v>
      </c>
      <c r="AF43" s="659">
        <v>92483</v>
      </c>
      <c r="AG43" s="659">
        <v>66607</v>
      </c>
      <c r="AH43" s="659">
        <v>23146</v>
      </c>
      <c r="AI43" s="659">
        <v>16288</v>
      </c>
      <c r="AJ43" s="659">
        <v>11190</v>
      </c>
      <c r="AK43" s="659">
        <v>8213</v>
      </c>
      <c r="AL43" s="659"/>
      <c r="AM43" s="659"/>
      <c r="AN43" s="659">
        <v>38892</v>
      </c>
      <c r="AO43" s="659">
        <v>36269</v>
      </c>
      <c r="AP43" s="659">
        <v>12758</v>
      </c>
      <c r="AQ43" s="659">
        <v>8884</v>
      </c>
      <c r="AR43" s="659">
        <v>2474</v>
      </c>
      <c r="AS43" s="659">
        <v>1690</v>
      </c>
      <c r="AT43" s="659">
        <v>52929</v>
      </c>
      <c r="AU43" s="665">
        <v>50632</v>
      </c>
      <c r="AV43" s="987">
        <f t="shared" si="4"/>
        <v>675571</v>
      </c>
      <c r="AW43" s="988">
        <f t="shared" si="5"/>
        <v>528745</v>
      </c>
      <c r="AX43" s="665">
        <v>11556242</v>
      </c>
      <c r="AY43" s="660">
        <v>10987563</v>
      </c>
      <c r="AZ43" s="660">
        <f t="shared" si="1"/>
        <v>12231813</v>
      </c>
      <c r="BA43" s="660">
        <f t="shared" si="1"/>
        <v>11516308</v>
      </c>
    </row>
    <row r="44" spans="1:53" ht="16.5" x14ac:dyDescent="0.3">
      <c r="A44" s="91" t="s">
        <v>355</v>
      </c>
      <c r="B44" s="91">
        <v>12645</v>
      </c>
      <c r="C44" s="793">
        <v>11922</v>
      </c>
      <c r="D44" s="666">
        <v>4582</v>
      </c>
      <c r="E44" s="659">
        <v>7312</v>
      </c>
      <c r="F44" s="659">
        <v>1130</v>
      </c>
      <c r="G44" s="659">
        <v>1088</v>
      </c>
      <c r="H44" s="659">
        <v>43767</v>
      </c>
      <c r="I44" s="659">
        <v>39454</v>
      </c>
      <c r="J44" s="659">
        <v>10923</v>
      </c>
      <c r="K44" s="659">
        <v>8357</v>
      </c>
      <c r="L44" s="659">
        <v>5274</v>
      </c>
      <c r="M44" s="659">
        <v>4577</v>
      </c>
      <c r="N44" s="659">
        <v>1536</v>
      </c>
      <c r="O44" s="659">
        <v>1682</v>
      </c>
      <c r="P44" s="659">
        <v>6522</v>
      </c>
      <c r="Q44" s="659">
        <v>7996</v>
      </c>
      <c r="R44" s="659"/>
      <c r="S44" s="659">
        <v>2537</v>
      </c>
      <c r="T44" s="659">
        <v>5246</v>
      </c>
      <c r="U44" s="659">
        <v>5710</v>
      </c>
      <c r="V44" s="659">
        <v>38023</v>
      </c>
      <c r="W44" s="659">
        <v>34274</v>
      </c>
      <c r="X44" s="659">
        <v>59631</v>
      </c>
      <c r="Y44" s="659">
        <v>48778</v>
      </c>
      <c r="Z44" s="659">
        <v>15473</v>
      </c>
      <c r="AA44" s="659">
        <v>13951</v>
      </c>
      <c r="AB44" s="659">
        <v>1882</v>
      </c>
      <c r="AC44" s="659">
        <v>1916</v>
      </c>
      <c r="AD44" s="659">
        <v>11568</v>
      </c>
      <c r="AE44" s="659">
        <v>8354</v>
      </c>
      <c r="AF44" s="659">
        <v>34518</v>
      </c>
      <c r="AG44" s="659">
        <v>26040</v>
      </c>
      <c r="AH44" s="659">
        <v>11864</v>
      </c>
      <c r="AI44" s="659">
        <v>11853</v>
      </c>
      <c r="AJ44" s="659">
        <v>5184</v>
      </c>
      <c r="AK44" s="659">
        <v>5881</v>
      </c>
      <c r="AL44" s="659"/>
      <c r="AM44" s="659"/>
      <c r="AN44" s="659">
        <v>52151</v>
      </c>
      <c r="AO44" s="659">
        <v>52677</v>
      </c>
      <c r="AP44" s="659">
        <v>4829</v>
      </c>
      <c r="AQ44" s="659">
        <v>5259</v>
      </c>
      <c r="AR44" s="659">
        <v>5094</v>
      </c>
      <c r="AS44" s="659">
        <v>3631</v>
      </c>
      <c r="AT44" s="659">
        <v>37999</v>
      </c>
      <c r="AU44" s="665">
        <v>26113</v>
      </c>
      <c r="AV44" s="987">
        <f t="shared" si="4"/>
        <v>369841</v>
      </c>
      <c r="AW44" s="988">
        <f t="shared" si="5"/>
        <v>329362</v>
      </c>
      <c r="AX44" s="665">
        <v>381962</v>
      </c>
      <c r="AY44" s="660">
        <v>355202</v>
      </c>
      <c r="AZ44" s="660">
        <f t="shared" si="1"/>
        <v>751803</v>
      </c>
      <c r="BA44" s="660">
        <f t="shared" si="1"/>
        <v>684564</v>
      </c>
    </row>
    <row r="45" spans="1:53" ht="16.5" x14ac:dyDescent="0.3">
      <c r="A45" s="114" t="s">
        <v>356</v>
      </c>
      <c r="B45" s="114"/>
      <c r="C45" s="793"/>
      <c r="D45" s="666"/>
      <c r="E45" s="659"/>
      <c r="F45" s="659"/>
      <c r="G45" s="659"/>
      <c r="H45" s="659"/>
      <c r="I45" s="659"/>
      <c r="J45" s="659"/>
      <c r="K45" s="659"/>
      <c r="L45" s="659"/>
      <c r="M45" s="659"/>
      <c r="N45" s="659"/>
      <c r="O45" s="659"/>
      <c r="P45" s="659"/>
      <c r="Q45" s="659"/>
      <c r="R45" s="659"/>
      <c r="S45" s="659"/>
      <c r="T45" s="659"/>
      <c r="U45" s="659"/>
      <c r="V45" s="659"/>
      <c r="W45" s="659"/>
      <c r="X45" s="659"/>
      <c r="Y45" s="659"/>
      <c r="Z45" s="659"/>
      <c r="AA45" s="659"/>
      <c r="AB45" s="659"/>
      <c r="AC45" s="659"/>
      <c r="AD45" s="659"/>
      <c r="AE45" s="659"/>
      <c r="AF45" s="659"/>
      <c r="AG45" s="659"/>
      <c r="AH45" s="659"/>
      <c r="AI45" s="659"/>
      <c r="AJ45" s="659"/>
      <c r="AK45" s="659"/>
      <c r="AL45" s="659"/>
      <c r="AM45" s="659"/>
      <c r="AN45" s="659"/>
      <c r="AO45" s="659"/>
      <c r="AP45" s="659"/>
      <c r="AQ45" s="659"/>
      <c r="AR45" s="659"/>
      <c r="AS45" s="659"/>
      <c r="AT45" s="659"/>
      <c r="AU45" s="665"/>
      <c r="AV45" s="987">
        <f t="shared" si="4"/>
        <v>0</v>
      </c>
      <c r="AW45" s="988">
        <f t="shared" si="5"/>
        <v>0</v>
      </c>
      <c r="AX45" s="665"/>
      <c r="AY45" s="660"/>
      <c r="AZ45" s="660">
        <f t="shared" si="1"/>
        <v>0</v>
      </c>
      <c r="BA45" s="660">
        <f t="shared" si="1"/>
        <v>0</v>
      </c>
    </row>
    <row r="46" spans="1:53" ht="16.5" x14ac:dyDescent="0.3">
      <c r="A46" s="114" t="s">
        <v>357</v>
      </c>
      <c r="B46" s="114"/>
      <c r="C46" s="793"/>
      <c r="D46" s="666"/>
      <c r="E46" s="659"/>
      <c r="F46" s="659"/>
      <c r="G46" s="659"/>
      <c r="H46" s="659"/>
      <c r="I46" s="659"/>
      <c r="J46" s="659"/>
      <c r="K46" s="659"/>
      <c r="L46" s="659"/>
      <c r="M46" s="659"/>
      <c r="N46" s="659">
        <v>1242</v>
      </c>
      <c r="O46" s="659">
        <v>1876</v>
      </c>
      <c r="P46" s="659"/>
      <c r="Q46" s="659"/>
      <c r="R46" s="659"/>
      <c r="S46" s="659"/>
      <c r="T46" s="659"/>
      <c r="U46" s="659"/>
      <c r="V46" s="659"/>
      <c r="W46" s="659"/>
      <c r="X46" s="659">
        <v>30</v>
      </c>
      <c r="Y46" s="659">
        <v>85</v>
      </c>
      <c r="Z46" s="659"/>
      <c r="AA46" s="659"/>
      <c r="AB46" s="659"/>
      <c r="AC46" s="659"/>
      <c r="AD46" s="659"/>
      <c r="AE46" s="659"/>
      <c r="AF46" s="659"/>
      <c r="AG46" s="659"/>
      <c r="AH46" s="659"/>
      <c r="AI46" s="659"/>
      <c r="AJ46" s="659"/>
      <c r="AK46" s="659"/>
      <c r="AL46" s="659"/>
      <c r="AM46" s="659"/>
      <c r="AN46" s="659"/>
      <c r="AO46" s="659"/>
      <c r="AP46" s="659"/>
      <c r="AQ46" s="659"/>
      <c r="AR46" s="659"/>
      <c r="AS46" s="659"/>
      <c r="AT46" s="659"/>
      <c r="AU46" s="665"/>
      <c r="AV46" s="987">
        <f t="shared" si="4"/>
        <v>1272</v>
      </c>
      <c r="AW46" s="988">
        <f t="shared" si="5"/>
        <v>1961</v>
      </c>
      <c r="AX46" s="665"/>
      <c r="AY46" s="660"/>
      <c r="AZ46" s="660">
        <f t="shared" si="1"/>
        <v>1272</v>
      </c>
      <c r="BA46" s="660">
        <f t="shared" si="1"/>
        <v>1961</v>
      </c>
    </row>
    <row r="47" spans="1:53" ht="16.5" x14ac:dyDescent="0.3">
      <c r="A47" s="91" t="s">
        <v>358</v>
      </c>
      <c r="B47" s="91">
        <v>95756</v>
      </c>
      <c r="C47" s="793">
        <v>70494</v>
      </c>
      <c r="D47" s="666">
        <v>9209</v>
      </c>
      <c r="E47" s="659">
        <v>2923</v>
      </c>
      <c r="F47" s="659">
        <v>5253</v>
      </c>
      <c r="G47" s="659">
        <v>6613</v>
      </c>
      <c r="H47" s="659">
        <v>41389</v>
      </c>
      <c r="I47" s="659">
        <v>30141</v>
      </c>
      <c r="J47" s="659">
        <v>13445</v>
      </c>
      <c r="K47" s="659">
        <v>18534</v>
      </c>
      <c r="L47" s="659">
        <v>38663</v>
      </c>
      <c r="M47" s="659">
        <v>34026</v>
      </c>
      <c r="N47" s="659">
        <v>6059</v>
      </c>
      <c r="O47" s="659">
        <v>5018</v>
      </c>
      <c r="P47" s="659">
        <v>12671</v>
      </c>
      <c r="Q47" s="659">
        <v>10338</v>
      </c>
      <c r="R47" s="659"/>
      <c r="S47" s="659">
        <v>26127</v>
      </c>
      <c r="T47" s="659">
        <v>18283</v>
      </c>
      <c r="U47" s="659">
        <v>13703</v>
      </c>
      <c r="V47" s="659">
        <v>113665</v>
      </c>
      <c r="W47" s="659">
        <v>108656</v>
      </c>
      <c r="X47" s="659">
        <v>77522</v>
      </c>
      <c r="Y47" s="659">
        <v>67093</v>
      </c>
      <c r="Z47" s="659">
        <v>11262</v>
      </c>
      <c r="AA47" s="659">
        <v>17299</v>
      </c>
      <c r="AB47" s="659">
        <v>27925</v>
      </c>
      <c r="AC47" s="659">
        <v>25597</v>
      </c>
      <c r="AD47" s="659">
        <v>39077</v>
      </c>
      <c r="AE47" s="659">
        <v>57945</v>
      </c>
      <c r="AF47" s="659">
        <v>102184</v>
      </c>
      <c r="AG47" s="659">
        <v>66169</v>
      </c>
      <c r="AH47" s="659">
        <v>23146</v>
      </c>
      <c r="AI47" s="659">
        <v>16332</v>
      </c>
      <c r="AJ47" s="659">
        <v>22595</v>
      </c>
      <c r="AK47" s="659">
        <v>20672</v>
      </c>
      <c r="AL47" s="659"/>
      <c r="AM47" s="659"/>
      <c r="AN47" s="659">
        <v>416492</v>
      </c>
      <c r="AO47" s="659">
        <v>320422</v>
      </c>
      <c r="AP47" s="659">
        <v>22437</v>
      </c>
      <c r="AQ47" s="659">
        <v>21728</v>
      </c>
      <c r="AR47" s="659">
        <v>31371</v>
      </c>
      <c r="AS47" s="659">
        <v>14208</v>
      </c>
      <c r="AT47" s="659">
        <v>77907</v>
      </c>
      <c r="AU47" s="665">
        <v>39868</v>
      </c>
      <c r="AV47" s="987">
        <f t="shared" si="4"/>
        <v>1206311</v>
      </c>
      <c r="AW47" s="988">
        <f t="shared" si="5"/>
        <v>993906</v>
      </c>
      <c r="AX47" s="665">
        <v>3835345</v>
      </c>
      <c r="AY47" s="660">
        <v>3743214</v>
      </c>
      <c r="AZ47" s="660">
        <f t="shared" si="1"/>
        <v>5041656</v>
      </c>
      <c r="BA47" s="660">
        <f t="shared" si="1"/>
        <v>4737120</v>
      </c>
    </row>
    <row r="48" spans="1:53" ht="16.5" x14ac:dyDescent="0.3">
      <c r="A48" s="91" t="s">
        <v>359</v>
      </c>
      <c r="B48" s="91">
        <v>187129</v>
      </c>
      <c r="C48" s="793">
        <v>176948</v>
      </c>
      <c r="D48" s="666">
        <v>21295</v>
      </c>
      <c r="E48" s="659">
        <v>14334</v>
      </c>
      <c r="F48" s="659">
        <v>42076</v>
      </c>
      <c r="G48" s="659">
        <v>44917</v>
      </c>
      <c r="H48" s="659">
        <v>223576</v>
      </c>
      <c r="I48" s="659">
        <v>217753</v>
      </c>
      <c r="J48" s="659">
        <v>53554</v>
      </c>
      <c r="K48" s="659">
        <v>47156</v>
      </c>
      <c r="L48" s="659">
        <v>64404</v>
      </c>
      <c r="M48" s="659">
        <v>52638</v>
      </c>
      <c r="N48" s="659">
        <v>36730</v>
      </c>
      <c r="O48" s="659">
        <v>38500</v>
      </c>
      <c r="P48" s="659">
        <v>48308</v>
      </c>
      <c r="Q48" s="659">
        <v>43529</v>
      </c>
      <c r="R48" s="659"/>
      <c r="S48" s="659">
        <v>76182</v>
      </c>
      <c r="T48" s="659">
        <v>30733</v>
      </c>
      <c r="U48" s="659">
        <v>29751</v>
      </c>
      <c r="V48" s="659">
        <v>584085</v>
      </c>
      <c r="W48" s="659">
        <v>414670</v>
      </c>
      <c r="X48" s="659">
        <v>494957</v>
      </c>
      <c r="Y48" s="659">
        <v>423658</v>
      </c>
      <c r="Z48" s="659">
        <v>59498</v>
      </c>
      <c r="AA48" s="659">
        <v>57146</v>
      </c>
      <c r="AB48" s="659">
        <v>75158</v>
      </c>
      <c r="AC48" s="659">
        <v>75067</v>
      </c>
      <c r="AD48" s="659">
        <v>168347</v>
      </c>
      <c r="AE48" s="659">
        <v>153542</v>
      </c>
      <c r="AF48" s="659">
        <v>297239</v>
      </c>
      <c r="AG48" s="659">
        <v>295722</v>
      </c>
      <c r="AH48" s="659">
        <v>126079</v>
      </c>
      <c r="AI48" s="659">
        <v>123524</v>
      </c>
      <c r="AJ48" s="659">
        <v>98712</v>
      </c>
      <c r="AK48" s="659">
        <v>99127</v>
      </c>
      <c r="AL48" s="659"/>
      <c r="AM48" s="659"/>
      <c r="AN48" s="659">
        <v>527637</v>
      </c>
      <c r="AO48" s="659">
        <v>441152</v>
      </c>
      <c r="AP48" s="659">
        <v>44374</v>
      </c>
      <c r="AQ48" s="659">
        <v>38265</v>
      </c>
      <c r="AR48" s="659">
        <v>62471</v>
      </c>
      <c r="AS48" s="659">
        <v>55820</v>
      </c>
      <c r="AT48" s="659">
        <v>240799</v>
      </c>
      <c r="AU48" s="665">
        <v>194439</v>
      </c>
      <c r="AV48" s="987">
        <f t="shared" si="4"/>
        <v>3487161</v>
      </c>
      <c r="AW48" s="988">
        <f t="shared" si="5"/>
        <v>3113840</v>
      </c>
      <c r="AX48" s="665">
        <v>14792587</v>
      </c>
      <c r="AY48" s="660">
        <v>15368569</v>
      </c>
      <c r="AZ48" s="660">
        <f t="shared" si="1"/>
        <v>18279748</v>
      </c>
      <c r="BA48" s="660">
        <f t="shared" si="1"/>
        <v>18482409</v>
      </c>
    </row>
    <row r="49" spans="1:53" ht="18" x14ac:dyDescent="0.35">
      <c r="A49" s="114" t="s">
        <v>360</v>
      </c>
      <c r="B49" s="114">
        <v>282885</v>
      </c>
      <c r="C49" s="794">
        <v>247442</v>
      </c>
      <c r="D49" s="795">
        <v>30504</v>
      </c>
      <c r="E49" s="797">
        <v>17257</v>
      </c>
      <c r="F49" s="797">
        <v>47329</v>
      </c>
      <c r="G49" s="797">
        <v>51530</v>
      </c>
      <c r="H49" s="797">
        <v>264965</v>
      </c>
      <c r="I49" s="797">
        <v>247894</v>
      </c>
      <c r="J49" s="797">
        <v>66999</v>
      </c>
      <c r="K49" s="797">
        <v>65691</v>
      </c>
      <c r="L49" s="797">
        <v>103067</v>
      </c>
      <c r="M49" s="797">
        <v>86664</v>
      </c>
      <c r="N49" s="797">
        <v>42789</v>
      </c>
      <c r="O49" s="797">
        <v>43518</v>
      </c>
      <c r="P49" s="797">
        <v>60979</v>
      </c>
      <c r="Q49" s="797">
        <v>53866</v>
      </c>
      <c r="R49" s="797"/>
      <c r="S49" s="797">
        <v>102309</v>
      </c>
      <c r="T49" s="797">
        <v>49015</v>
      </c>
      <c r="U49" s="797">
        <v>43455</v>
      </c>
      <c r="V49" s="797">
        <v>697750</v>
      </c>
      <c r="W49" s="797">
        <v>523326</v>
      </c>
      <c r="X49" s="797">
        <v>572479</v>
      </c>
      <c r="Y49" s="797">
        <v>490751</v>
      </c>
      <c r="Z49" s="797">
        <v>70760</v>
      </c>
      <c r="AA49" s="797">
        <v>74445</v>
      </c>
      <c r="AB49" s="797">
        <v>103083</v>
      </c>
      <c r="AC49" s="797">
        <v>100664</v>
      </c>
      <c r="AD49" s="797">
        <v>207424</v>
      </c>
      <c r="AE49" s="797">
        <v>211487</v>
      </c>
      <c r="AF49" s="797">
        <v>399424</v>
      </c>
      <c r="AG49" s="797">
        <v>361891</v>
      </c>
      <c r="AH49" s="797">
        <v>142961</v>
      </c>
      <c r="AI49" s="797">
        <v>139856</v>
      </c>
      <c r="AJ49" s="797">
        <v>121308</v>
      </c>
      <c r="AK49" s="797">
        <v>119799</v>
      </c>
      <c r="AL49" s="797"/>
      <c r="AM49" s="797"/>
      <c r="AN49" s="797">
        <v>944129</v>
      </c>
      <c r="AO49" s="797">
        <v>761574</v>
      </c>
      <c r="AP49" s="797">
        <v>66811</v>
      </c>
      <c r="AQ49" s="797">
        <v>59993</v>
      </c>
      <c r="AR49" s="797">
        <v>93842</v>
      </c>
      <c r="AS49" s="797">
        <v>70028</v>
      </c>
      <c r="AT49" s="797">
        <v>318706</v>
      </c>
      <c r="AU49" s="798">
        <v>234307</v>
      </c>
      <c r="AV49" s="987">
        <f t="shared" si="4"/>
        <v>4687209</v>
      </c>
      <c r="AW49" s="988">
        <f t="shared" si="5"/>
        <v>4107747</v>
      </c>
      <c r="AX49" s="665">
        <v>18627932</v>
      </c>
      <c r="AY49" s="796">
        <v>19111783</v>
      </c>
      <c r="AZ49" s="660">
        <f t="shared" si="1"/>
        <v>23315141</v>
      </c>
      <c r="BA49" s="660">
        <f t="shared" si="1"/>
        <v>23219530</v>
      </c>
    </row>
    <row r="50" spans="1:53" ht="16.5" x14ac:dyDescent="0.3">
      <c r="A50" s="91" t="s">
        <v>361</v>
      </c>
      <c r="B50" s="91">
        <v>209344</v>
      </c>
      <c r="C50" s="793">
        <v>188543</v>
      </c>
      <c r="D50" s="666">
        <v>35055</v>
      </c>
      <c r="E50" s="659">
        <v>10957</v>
      </c>
      <c r="F50" s="659">
        <v>35670</v>
      </c>
      <c r="G50" s="659">
        <v>37590</v>
      </c>
      <c r="H50" s="659">
        <v>306230</v>
      </c>
      <c r="I50" s="659">
        <v>267476</v>
      </c>
      <c r="J50" s="659">
        <v>31327</v>
      </c>
      <c r="K50" s="659">
        <v>35282</v>
      </c>
      <c r="L50" s="659">
        <v>74356</v>
      </c>
      <c r="M50" s="659">
        <v>64883</v>
      </c>
      <c r="N50" s="659">
        <v>22344</v>
      </c>
      <c r="O50" s="659">
        <v>16162</v>
      </c>
      <c r="P50" s="659">
        <v>37581</v>
      </c>
      <c r="Q50" s="659">
        <v>32055</v>
      </c>
      <c r="R50" s="659"/>
      <c r="S50" s="659">
        <v>67941</v>
      </c>
      <c r="T50" s="659">
        <v>39078</v>
      </c>
      <c r="U50" s="659">
        <v>31940</v>
      </c>
      <c r="V50" s="659">
        <v>797954</v>
      </c>
      <c r="W50" s="659">
        <v>613755</v>
      </c>
      <c r="X50" s="659">
        <v>566855</v>
      </c>
      <c r="Y50" s="659">
        <v>522626</v>
      </c>
      <c r="Z50" s="659">
        <v>26463</v>
      </c>
      <c r="AA50" s="659">
        <v>31902</v>
      </c>
      <c r="AB50" s="659">
        <v>77191</v>
      </c>
      <c r="AC50" s="659">
        <v>76240</v>
      </c>
      <c r="AD50" s="659">
        <v>240862</v>
      </c>
      <c r="AE50" s="659">
        <v>210773</v>
      </c>
      <c r="AF50" s="659">
        <v>382738</v>
      </c>
      <c r="AG50" s="659">
        <v>368441</v>
      </c>
      <c r="AH50" s="659">
        <v>133431</v>
      </c>
      <c r="AI50" s="659">
        <v>138248</v>
      </c>
      <c r="AJ50" s="659">
        <v>85739</v>
      </c>
      <c r="AK50" s="659">
        <v>87689</v>
      </c>
      <c r="AL50" s="659"/>
      <c r="AM50" s="659"/>
      <c r="AN50" s="659">
        <v>473150</v>
      </c>
      <c r="AO50" s="659">
        <v>455855</v>
      </c>
      <c r="AP50" s="659">
        <v>30759</v>
      </c>
      <c r="AQ50" s="659">
        <v>41420</v>
      </c>
      <c r="AR50" s="659">
        <v>37503</v>
      </c>
      <c r="AS50" s="659">
        <v>24188</v>
      </c>
      <c r="AT50" s="659">
        <v>364220</v>
      </c>
      <c r="AU50" s="665">
        <v>281429</v>
      </c>
      <c r="AV50" s="987">
        <f t="shared" si="4"/>
        <v>4007850</v>
      </c>
      <c r="AW50" s="988">
        <f t="shared" si="5"/>
        <v>3605395</v>
      </c>
      <c r="AX50" s="665">
        <v>4443770</v>
      </c>
      <c r="AY50" s="660">
        <v>5630154</v>
      </c>
      <c r="AZ50" s="660">
        <f t="shared" si="1"/>
        <v>8451620</v>
      </c>
      <c r="BA50" s="660">
        <f t="shared" si="1"/>
        <v>9235549</v>
      </c>
    </row>
    <row r="51" spans="1:53" ht="16.5" x14ac:dyDescent="0.3">
      <c r="A51" s="91" t="s">
        <v>362</v>
      </c>
      <c r="B51" s="91">
        <v>13007</v>
      </c>
      <c r="C51" s="793">
        <v>13070</v>
      </c>
      <c r="D51" s="666">
        <v>197</v>
      </c>
      <c r="E51" s="659">
        <v>187</v>
      </c>
      <c r="F51" s="659">
        <v>783</v>
      </c>
      <c r="G51" s="659">
        <v>777</v>
      </c>
      <c r="H51" s="659">
        <v>25795</v>
      </c>
      <c r="I51" s="659">
        <v>21940</v>
      </c>
      <c r="J51" s="659">
        <v>9442</v>
      </c>
      <c r="K51" s="659">
        <v>7426</v>
      </c>
      <c r="L51" s="659">
        <v>1751</v>
      </c>
      <c r="M51" s="659">
        <v>1761</v>
      </c>
      <c r="N51" s="659">
        <v>6291</v>
      </c>
      <c r="O51" s="659">
        <v>13763</v>
      </c>
      <c r="P51" s="659">
        <v>124</v>
      </c>
      <c r="Q51" s="659">
        <v>612</v>
      </c>
      <c r="R51" s="659"/>
      <c r="S51" s="659">
        <v>2885</v>
      </c>
      <c r="T51" s="659">
        <v>1070</v>
      </c>
      <c r="U51" s="659">
        <v>745</v>
      </c>
      <c r="V51" s="659">
        <v>12623</v>
      </c>
      <c r="W51" s="659">
        <v>9116</v>
      </c>
      <c r="X51" s="659">
        <v>2586</v>
      </c>
      <c r="Y51" s="659">
        <v>2600</v>
      </c>
      <c r="Z51" s="659">
        <v>1684</v>
      </c>
      <c r="AA51" s="659">
        <v>1263</v>
      </c>
      <c r="AB51" s="659">
        <v>163</v>
      </c>
      <c r="AC51" s="659">
        <v>220</v>
      </c>
      <c r="AD51" s="659">
        <v>62464</v>
      </c>
      <c r="AE51" s="659">
        <v>39826</v>
      </c>
      <c r="AF51" s="659">
        <v>3821</v>
      </c>
      <c r="AG51" s="659">
        <v>3703</v>
      </c>
      <c r="AH51" s="659">
        <v>9884</v>
      </c>
      <c r="AI51" s="659">
        <v>9474</v>
      </c>
      <c r="AJ51" s="659">
        <v>5131</v>
      </c>
      <c r="AK51" s="659">
        <v>8213</v>
      </c>
      <c r="AL51" s="659"/>
      <c r="AM51" s="659"/>
      <c r="AN51" s="659">
        <v>36814</v>
      </c>
      <c r="AO51" s="659">
        <v>57124</v>
      </c>
      <c r="AP51" s="659">
        <v>5867</v>
      </c>
      <c r="AQ51" s="659">
        <v>2464</v>
      </c>
      <c r="AR51" s="659">
        <v>877</v>
      </c>
      <c r="AS51" s="659">
        <v>352</v>
      </c>
      <c r="AT51" s="659">
        <v>9662</v>
      </c>
      <c r="AU51" s="665">
        <v>7274</v>
      </c>
      <c r="AV51" s="987">
        <f t="shared" si="4"/>
        <v>210036</v>
      </c>
      <c r="AW51" s="988">
        <f t="shared" si="5"/>
        <v>204795</v>
      </c>
      <c r="AX51" s="665">
        <v>1494305</v>
      </c>
      <c r="AY51" s="660">
        <v>1494305</v>
      </c>
      <c r="AZ51" s="660">
        <f t="shared" si="1"/>
        <v>1704341</v>
      </c>
      <c r="BA51" s="660">
        <f t="shared" si="1"/>
        <v>1699100</v>
      </c>
    </row>
    <row r="52" spans="1:53" s="1216" customFormat="1" ht="18" x14ac:dyDescent="0.35">
      <c r="A52" s="671" t="s">
        <v>426</v>
      </c>
      <c r="B52" s="671">
        <v>222351</v>
      </c>
      <c r="C52" s="1057">
        <f>C50+C51</f>
        <v>201613</v>
      </c>
      <c r="D52" s="1058">
        <v>35252</v>
      </c>
      <c r="E52" s="1058">
        <f t="shared" ref="E52:AU52" si="6">E50+E51</f>
        <v>11144</v>
      </c>
      <c r="F52" s="1058">
        <v>36453</v>
      </c>
      <c r="G52" s="1058">
        <f t="shared" si="6"/>
        <v>38367</v>
      </c>
      <c r="H52" s="1058">
        <v>332025</v>
      </c>
      <c r="I52" s="1058">
        <f t="shared" si="6"/>
        <v>289416</v>
      </c>
      <c r="J52" s="1058">
        <v>40769</v>
      </c>
      <c r="K52" s="1058">
        <f t="shared" si="6"/>
        <v>42708</v>
      </c>
      <c r="L52" s="1058">
        <v>76107</v>
      </c>
      <c r="M52" s="1058">
        <f t="shared" si="6"/>
        <v>66644</v>
      </c>
      <c r="N52" s="1058">
        <v>28635</v>
      </c>
      <c r="O52" s="1058">
        <f t="shared" si="6"/>
        <v>29925</v>
      </c>
      <c r="P52" s="1058">
        <v>37705</v>
      </c>
      <c r="Q52" s="1058">
        <v>32667</v>
      </c>
      <c r="R52" s="1058"/>
      <c r="S52" s="1058">
        <f t="shared" si="6"/>
        <v>70826</v>
      </c>
      <c r="T52" s="1058">
        <v>40148</v>
      </c>
      <c r="U52" s="1058">
        <f t="shared" si="6"/>
        <v>32685</v>
      </c>
      <c r="V52" s="1058">
        <v>810577</v>
      </c>
      <c r="W52" s="1058">
        <f t="shared" si="6"/>
        <v>622871</v>
      </c>
      <c r="X52" s="1058">
        <v>569441</v>
      </c>
      <c r="Y52" s="1058">
        <f t="shared" si="6"/>
        <v>525226</v>
      </c>
      <c r="Z52" s="1058">
        <f t="shared" si="6"/>
        <v>28147</v>
      </c>
      <c r="AA52" s="1058">
        <f t="shared" si="6"/>
        <v>33165</v>
      </c>
      <c r="AB52" s="1058">
        <v>77355</v>
      </c>
      <c r="AC52" s="1058">
        <f t="shared" si="6"/>
        <v>76460</v>
      </c>
      <c r="AD52" s="1058">
        <v>303326</v>
      </c>
      <c r="AE52" s="1058">
        <f t="shared" si="6"/>
        <v>250599</v>
      </c>
      <c r="AF52" s="1058">
        <v>386559</v>
      </c>
      <c r="AG52" s="1058">
        <f t="shared" si="6"/>
        <v>372144</v>
      </c>
      <c r="AH52" s="1058">
        <f t="shared" si="6"/>
        <v>143315</v>
      </c>
      <c r="AI52" s="1058">
        <f t="shared" si="6"/>
        <v>147722</v>
      </c>
      <c r="AJ52" s="1058">
        <f t="shared" si="6"/>
        <v>90870</v>
      </c>
      <c r="AK52" s="1058">
        <f t="shared" si="6"/>
        <v>95902</v>
      </c>
      <c r="AL52" s="1058">
        <f t="shared" si="6"/>
        <v>0</v>
      </c>
      <c r="AM52" s="1058">
        <f t="shared" si="6"/>
        <v>0</v>
      </c>
      <c r="AN52" s="1058">
        <f t="shared" si="6"/>
        <v>509964</v>
      </c>
      <c r="AO52" s="1058">
        <f t="shared" si="6"/>
        <v>512979</v>
      </c>
      <c r="AP52" s="1058">
        <f t="shared" si="6"/>
        <v>36626</v>
      </c>
      <c r="AQ52" s="1058">
        <f t="shared" si="6"/>
        <v>43884</v>
      </c>
      <c r="AR52" s="1058">
        <f t="shared" si="6"/>
        <v>38380</v>
      </c>
      <c r="AS52" s="1058">
        <f t="shared" si="6"/>
        <v>24540</v>
      </c>
      <c r="AT52" s="1058">
        <f t="shared" si="6"/>
        <v>373882</v>
      </c>
      <c r="AU52" s="1211">
        <f t="shared" si="6"/>
        <v>288703</v>
      </c>
      <c r="AV52" s="1212">
        <f t="shared" si="4"/>
        <v>4217887</v>
      </c>
      <c r="AW52" s="1213">
        <f t="shared" si="5"/>
        <v>3810190</v>
      </c>
      <c r="AX52" s="1214">
        <v>5938076</v>
      </c>
      <c r="AY52" s="1061">
        <v>7124459</v>
      </c>
      <c r="AZ52" s="1215">
        <f t="shared" si="1"/>
        <v>10155963</v>
      </c>
      <c r="BA52" s="1215">
        <f t="shared" si="1"/>
        <v>10934649</v>
      </c>
    </row>
    <row r="53" spans="1:53" s="1216" customFormat="1" ht="18" x14ac:dyDescent="0.35">
      <c r="A53" s="671" t="s">
        <v>363</v>
      </c>
      <c r="B53" s="671">
        <v>60534</v>
      </c>
      <c r="C53" s="1057">
        <f>C49-C52</f>
        <v>45829</v>
      </c>
      <c r="D53" s="1058">
        <v>-4748</v>
      </c>
      <c r="E53" s="1058">
        <f t="shared" ref="E53:AU53" si="7">E49-E52</f>
        <v>6113</v>
      </c>
      <c r="F53" s="1058">
        <v>10876</v>
      </c>
      <c r="G53" s="1058">
        <f t="shared" si="7"/>
        <v>13163</v>
      </c>
      <c r="H53" s="1058">
        <v>-67060</v>
      </c>
      <c r="I53" s="1058">
        <f t="shared" si="7"/>
        <v>-41522</v>
      </c>
      <c r="J53" s="1058">
        <v>26229</v>
      </c>
      <c r="K53" s="1058">
        <f t="shared" si="7"/>
        <v>22983</v>
      </c>
      <c r="L53" s="1058">
        <v>26960</v>
      </c>
      <c r="M53" s="1058">
        <f t="shared" si="7"/>
        <v>20020</v>
      </c>
      <c r="N53" s="1058">
        <v>14154</v>
      </c>
      <c r="O53" s="1058">
        <f t="shared" si="7"/>
        <v>13593</v>
      </c>
      <c r="P53" s="1058">
        <v>23274</v>
      </c>
      <c r="Q53" s="1058">
        <f t="shared" si="7"/>
        <v>21199</v>
      </c>
      <c r="R53" s="1058"/>
      <c r="S53" s="1058">
        <f t="shared" si="7"/>
        <v>31483</v>
      </c>
      <c r="T53" s="1058">
        <v>8867</v>
      </c>
      <c r="U53" s="1058">
        <f t="shared" si="7"/>
        <v>10770</v>
      </c>
      <c r="V53" s="1058">
        <v>-112827</v>
      </c>
      <c r="W53" s="1058">
        <f t="shared" si="7"/>
        <v>-99545</v>
      </c>
      <c r="X53" s="1058">
        <v>3038</v>
      </c>
      <c r="Y53" s="1058">
        <f t="shared" si="7"/>
        <v>-34475</v>
      </c>
      <c r="Z53" s="1058">
        <f t="shared" si="7"/>
        <v>42613</v>
      </c>
      <c r="AA53" s="1058">
        <f t="shared" si="7"/>
        <v>41280</v>
      </c>
      <c r="AB53" s="1058">
        <v>25728</v>
      </c>
      <c r="AC53" s="1058">
        <f t="shared" si="7"/>
        <v>24204</v>
      </c>
      <c r="AD53" s="1058">
        <v>-95902</v>
      </c>
      <c r="AE53" s="1058">
        <f t="shared" si="7"/>
        <v>-39112</v>
      </c>
      <c r="AF53" s="1058">
        <v>12865</v>
      </c>
      <c r="AG53" s="1058">
        <f t="shared" si="7"/>
        <v>-10253</v>
      </c>
      <c r="AH53" s="1058">
        <f t="shared" si="7"/>
        <v>-354</v>
      </c>
      <c r="AI53" s="1058">
        <f t="shared" si="7"/>
        <v>-7866</v>
      </c>
      <c r="AJ53" s="1058">
        <f t="shared" si="7"/>
        <v>30438</v>
      </c>
      <c r="AK53" s="1058">
        <f t="shared" si="7"/>
        <v>23897</v>
      </c>
      <c r="AL53" s="1058">
        <f t="shared" si="7"/>
        <v>0</v>
      </c>
      <c r="AM53" s="1058">
        <f t="shared" si="7"/>
        <v>0</v>
      </c>
      <c r="AN53" s="1058">
        <f t="shared" si="7"/>
        <v>434165</v>
      </c>
      <c r="AO53" s="1058">
        <f t="shared" si="7"/>
        <v>248595</v>
      </c>
      <c r="AP53" s="1058">
        <f t="shared" si="7"/>
        <v>30185</v>
      </c>
      <c r="AQ53" s="1058">
        <v>16109</v>
      </c>
      <c r="AR53" s="1058">
        <f t="shared" si="7"/>
        <v>55462</v>
      </c>
      <c r="AS53" s="1058">
        <f t="shared" si="7"/>
        <v>45488</v>
      </c>
      <c r="AT53" s="1058">
        <f t="shared" si="7"/>
        <v>-55176</v>
      </c>
      <c r="AU53" s="1211">
        <f t="shared" si="7"/>
        <v>-54396</v>
      </c>
      <c r="AV53" s="1212">
        <f t="shared" si="4"/>
        <v>469321</v>
      </c>
      <c r="AW53" s="1213">
        <f t="shared" si="5"/>
        <v>297557</v>
      </c>
      <c r="AX53" s="1214">
        <f t="shared" ref="AX53" si="8">AX49-AX52</f>
        <v>12689856</v>
      </c>
      <c r="AY53" s="1061">
        <v>11987323</v>
      </c>
      <c r="AZ53" s="1215">
        <f t="shared" si="1"/>
        <v>13159177</v>
      </c>
      <c r="BA53" s="1215">
        <f t="shared" si="1"/>
        <v>12284880</v>
      </c>
    </row>
    <row r="54" spans="1:53" ht="16.5" x14ac:dyDescent="0.3">
      <c r="A54" s="91" t="s">
        <v>364</v>
      </c>
      <c r="B54" s="91"/>
      <c r="C54" s="793"/>
      <c r="D54" s="666"/>
      <c r="E54" s="659"/>
      <c r="F54" s="659"/>
      <c r="G54" s="659"/>
      <c r="H54" s="659"/>
      <c r="I54" s="659"/>
      <c r="J54" s="659"/>
      <c r="K54" s="659"/>
      <c r="L54" s="659"/>
      <c r="M54" s="659"/>
      <c r="N54" s="659"/>
      <c r="O54" s="659"/>
      <c r="P54" s="659"/>
      <c r="Q54" s="659"/>
      <c r="R54" s="659"/>
      <c r="S54" s="659"/>
      <c r="T54" s="659"/>
      <c r="U54" s="659"/>
      <c r="V54" s="659"/>
      <c r="W54" s="659"/>
      <c r="X54" s="659"/>
      <c r="Y54" s="659"/>
      <c r="Z54" s="659"/>
      <c r="AA54" s="659"/>
      <c r="AB54" s="659"/>
      <c r="AC54" s="659"/>
      <c r="AD54" s="659"/>
      <c r="AE54" s="659"/>
      <c r="AF54" s="659"/>
      <c r="AG54" s="659"/>
      <c r="AH54" s="659"/>
      <c r="AI54" s="659"/>
      <c r="AJ54" s="659"/>
      <c r="AK54" s="659"/>
      <c r="AL54" s="659"/>
      <c r="AM54" s="659"/>
      <c r="AN54" s="659"/>
      <c r="AO54" s="659"/>
      <c r="AP54" s="659"/>
      <c r="AQ54" s="659"/>
      <c r="AR54" s="659"/>
      <c r="AS54" s="659"/>
      <c r="AT54" s="659"/>
      <c r="AU54" s="665"/>
      <c r="AV54" s="987">
        <f t="shared" si="4"/>
        <v>0</v>
      </c>
      <c r="AW54" s="988">
        <f t="shared" si="5"/>
        <v>0</v>
      </c>
      <c r="AX54" s="665"/>
      <c r="AY54" s="660"/>
      <c r="AZ54" s="660">
        <f t="shared" si="1"/>
        <v>0</v>
      </c>
      <c r="BA54" s="660">
        <f t="shared" si="1"/>
        <v>0</v>
      </c>
    </row>
    <row r="55" spans="1:53" ht="16.5" x14ac:dyDescent="0.3">
      <c r="A55" s="91" t="s">
        <v>365</v>
      </c>
      <c r="B55" s="91"/>
      <c r="C55" s="793"/>
      <c r="D55" s="666"/>
      <c r="E55" s="659"/>
      <c r="F55" s="659"/>
      <c r="G55" s="659"/>
      <c r="H55" s="659"/>
      <c r="I55" s="659"/>
      <c r="J55" s="659"/>
      <c r="K55" s="659"/>
      <c r="L55" s="659"/>
      <c r="M55" s="659"/>
      <c r="N55" s="659"/>
      <c r="O55" s="659"/>
      <c r="P55" s="659"/>
      <c r="Q55" s="659"/>
      <c r="R55" s="659"/>
      <c r="S55" s="659"/>
      <c r="T55" s="659"/>
      <c r="U55" s="659"/>
      <c r="V55" s="659"/>
      <c r="W55" s="659"/>
      <c r="X55" s="659"/>
      <c r="Y55" s="659"/>
      <c r="Z55" s="659"/>
      <c r="AA55" s="659"/>
      <c r="AB55" s="659"/>
      <c r="AC55" s="659"/>
      <c r="AD55" s="659"/>
      <c r="AE55" s="659"/>
      <c r="AF55" s="659"/>
      <c r="AG55" s="659"/>
      <c r="AH55" s="659"/>
      <c r="AI55" s="659"/>
      <c r="AJ55" s="659"/>
      <c r="AK55" s="659"/>
      <c r="AL55" s="659"/>
      <c r="AM55" s="659"/>
      <c r="AN55" s="659"/>
      <c r="AO55" s="659"/>
      <c r="AP55" s="659"/>
      <c r="AQ55" s="659"/>
      <c r="AR55" s="659"/>
      <c r="AS55" s="659"/>
      <c r="AT55" s="659"/>
      <c r="AU55" s="665"/>
      <c r="AV55" s="987">
        <f t="shared" si="4"/>
        <v>0</v>
      </c>
      <c r="AW55" s="988">
        <f t="shared" si="5"/>
        <v>0</v>
      </c>
      <c r="AX55" s="665"/>
      <c r="AY55" s="660"/>
      <c r="AZ55" s="660">
        <f t="shared" si="1"/>
        <v>0</v>
      </c>
      <c r="BA55" s="660">
        <f t="shared" si="1"/>
        <v>0</v>
      </c>
    </row>
    <row r="56" spans="1:53" ht="16.5" x14ac:dyDescent="0.3">
      <c r="A56" s="91" t="s">
        <v>366</v>
      </c>
      <c r="B56" s="91"/>
      <c r="C56" s="793"/>
      <c r="D56" s="666">
        <v>90358</v>
      </c>
      <c r="E56" s="659">
        <v>79251</v>
      </c>
      <c r="F56" s="659">
        <v>159376</v>
      </c>
      <c r="G56" s="659">
        <v>147533</v>
      </c>
      <c r="H56" s="659"/>
      <c r="I56" s="659"/>
      <c r="J56" s="659">
        <v>340682</v>
      </c>
      <c r="K56" s="659">
        <v>320383</v>
      </c>
      <c r="L56" s="659"/>
      <c r="M56" s="659"/>
      <c r="N56" s="659">
        <v>16691</v>
      </c>
      <c r="O56" s="659">
        <v>20950</v>
      </c>
      <c r="P56" s="659">
        <v>204908</v>
      </c>
      <c r="Q56" s="659">
        <v>185192</v>
      </c>
      <c r="R56" s="659"/>
      <c r="S56" s="659">
        <v>63136</v>
      </c>
      <c r="T56" s="659">
        <v>235822</v>
      </c>
      <c r="U56" s="659">
        <v>216111</v>
      </c>
      <c r="V56" s="659"/>
      <c r="W56" s="659"/>
      <c r="X56" s="659"/>
      <c r="Y56" s="659"/>
      <c r="Z56" s="659"/>
      <c r="AA56" s="659"/>
      <c r="AB56" s="659">
        <v>36446</v>
      </c>
      <c r="AC56" s="659">
        <v>45071</v>
      </c>
      <c r="AD56" s="659"/>
      <c r="AE56" s="659"/>
      <c r="AF56" s="659"/>
      <c r="AG56" s="659"/>
      <c r="AH56" s="659">
        <v>55952</v>
      </c>
      <c r="AI56" s="659">
        <v>67171</v>
      </c>
      <c r="AJ56" s="659"/>
      <c r="AK56" s="659">
        <v>8185</v>
      </c>
      <c r="AL56" s="659"/>
      <c r="AM56" s="659"/>
      <c r="AN56" s="659"/>
      <c r="AO56" s="659"/>
      <c r="AP56" s="659"/>
      <c r="AQ56" s="659"/>
      <c r="AR56" s="659"/>
      <c r="AS56" s="659"/>
      <c r="AT56" s="659"/>
      <c r="AU56" s="665"/>
      <c r="AV56" s="987">
        <f t="shared" si="4"/>
        <v>1140235</v>
      </c>
      <c r="AW56" s="988">
        <f t="shared" si="5"/>
        <v>1152983</v>
      </c>
      <c r="AX56" s="665"/>
      <c r="AY56" s="660"/>
      <c r="AZ56" s="660">
        <f t="shared" si="1"/>
        <v>1140235</v>
      </c>
      <c r="BA56" s="660">
        <f t="shared" si="1"/>
        <v>1152983</v>
      </c>
    </row>
    <row r="57" spans="1:53" ht="16.5" x14ac:dyDescent="0.3">
      <c r="A57" s="91" t="s">
        <v>367</v>
      </c>
      <c r="B57" s="91"/>
      <c r="C57" s="793"/>
      <c r="D57" s="666">
        <v>192806</v>
      </c>
      <c r="E57" s="659">
        <v>172618</v>
      </c>
      <c r="F57" s="659"/>
      <c r="G57" s="659"/>
      <c r="H57" s="659"/>
      <c r="I57" s="659"/>
      <c r="J57" s="659"/>
      <c r="K57" s="659"/>
      <c r="L57" s="659"/>
      <c r="M57" s="659"/>
      <c r="N57" s="659"/>
      <c r="O57" s="659"/>
      <c r="P57" s="659"/>
      <c r="Q57" s="659"/>
      <c r="R57" s="659"/>
      <c r="S57" s="659"/>
      <c r="T57" s="659"/>
      <c r="U57" s="659"/>
      <c r="V57" s="659"/>
      <c r="W57" s="659"/>
      <c r="X57" s="659"/>
      <c r="Y57" s="659"/>
      <c r="Z57" s="659"/>
      <c r="AA57" s="659"/>
      <c r="AB57" s="659"/>
      <c r="AC57" s="659"/>
      <c r="AD57" s="659"/>
      <c r="AE57" s="659"/>
      <c r="AF57" s="659"/>
      <c r="AG57" s="659"/>
      <c r="AH57" s="659"/>
      <c r="AI57" s="659"/>
      <c r="AJ57" s="659"/>
      <c r="AK57" s="659"/>
      <c r="AL57" s="659"/>
      <c r="AM57" s="659"/>
      <c r="AN57" s="659"/>
      <c r="AO57" s="659"/>
      <c r="AP57" s="659"/>
      <c r="AQ57" s="659"/>
      <c r="AR57" s="659"/>
      <c r="AS57" s="659"/>
      <c r="AT57" s="659"/>
      <c r="AU57" s="665"/>
      <c r="AV57" s="987">
        <f t="shared" si="4"/>
        <v>192806</v>
      </c>
      <c r="AW57" s="988">
        <f t="shared" si="5"/>
        <v>172618</v>
      </c>
      <c r="AX57" s="665"/>
      <c r="AY57" s="660"/>
      <c r="AZ57" s="660">
        <f t="shared" si="1"/>
        <v>192806</v>
      </c>
      <c r="BA57" s="660">
        <f t="shared" si="1"/>
        <v>172618</v>
      </c>
    </row>
    <row r="58" spans="1:53" s="1064" customFormat="1" ht="18" x14ac:dyDescent="0.35">
      <c r="A58" s="671" t="s">
        <v>347</v>
      </c>
      <c r="B58" s="671">
        <v>7118862</v>
      </c>
      <c r="C58" s="1057">
        <v>6166730</v>
      </c>
      <c r="D58" s="1058">
        <v>698801</v>
      </c>
      <c r="E58" s="1059">
        <v>640099</v>
      </c>
      <c r="F58" s="1059">
        <v>1404234</v>
      </c>
      <c r="G58" s="1059">
        <v>1316436</v>
      </c>
      <c r="H58" s="1059">
        <v>9073946</v>
      </c>
      <c r="I58" s="1059">
        <v>8591306</v>
      </c>
      <c r="J58" s="1059">
        <v>1674500</v>
      </c>
      <c r="K58" s="1059">
        <v>1457502</v>
      </c>
      <c r="L58" s="1059">
        <v>3054889</v>
      </c>
      <c r="M58" s="1059">
        <v>2654851</v>
      </c>
      <c r="N58" s="1059">
        <v>767050</v>
      </c>
      <c r="O58" s="1059">
        <v>663481</v>
      </c>
      <c r="P58" s="1059">
        <v>901981</v>
      </c>
      <c r="Q58" s="1059">
        <v>764997</v>
      </c>
      <c r="R58" s="1059"/>
      <c r="S58" s="1059">
        <v>2128308</v>
      </c>
      <c r="T58" s="1059">
        <v>965135</v>
      </c>
      <c r="U58" s="1059">
        <v>836046</v>
      </c>
      <c r="V58" s="1059">
        <v>23961915</v>
      </c>
      <c r="W58" s="1059">
        <v>20416053</v>
      </c>
      <c r="X58" s="1059">
        <v>25015689</v>
      </c>
      <c r="Y58" s="1059">
        <v>23918518</v>
      </c>
      <c r="Z58" s="1059">
        <v>1528278</v>
      </c>
      <c r="AA58" s="1059">
        <v>1408806</v>
      </c>
      <c r="AB58" s="1059">
        <v>2208971</v>
      </c>
      <c r="AC58" s="1059">
        <v>1945149</v>
      </c>
      <c r="AD58" s="1059">
        <v>6344150</v>
      </c>
      <c r="AE58" s="1059">
        <v>5525503</v>
      </c>
      <c r="AF58" s="1059">
        <v>12425525</v>
      </c>
      <c r="AG58" s="1059">
        <v>10833352</v>
      </c>
      <c r="AH58" s="1059">
        <v>4068307</v>
      </c>
      <c r="AI58" s="1059">
        <v>3525335</v>
      </c>
      <c r="AJ58" s="1059">
        <v>3107709</v>
      </c>
      <c r="AK58" s="1059">
        <v>2811431</v>
      </c>
      <c r="AL58" s="1059"/>
      <c r="AM58" s="1059"/>
      <c r="AN58" s="1059">
        <v>30958656</v>
      </c>
      <c r="AO58" s="1059">
        <v>26820720</v>
      </c>
      <c r="AP58" s="1059">
        <v>948950</v>
      </c>
      <c r="AQ58" s="1059">
        <v>798540</v>
      </c>
      <c r="AR58" s="1059">
        <v>1934519</v>
      </c>
      <c r="AS58" s="1059">
        <v>1503212</v>
      </c>
      <c r="AT58" s="1059">
        <v>7136401</v>
      </c>
      <c r="AU58" s="1060">
        <v>5879311</v>
      </c>
      <c r="AV58" s="1062">
        <f t="shared" si="4"/>
        <v>145298468</v>
      </c>
      <c r="AW58" s="1063">
        <f t="shared" si="5"/>
        <v>130605686</v>
      </c>
      <c r="AX58" s="1060">
        <v>449113144</v>
      </c>
      <c r="AY58" s="1061">
        <v>415934516</v>
      </c>
      <c r="AZ58" s="1061">
        <f t="shared" si="1"/>
        <v>594411612</v>
      </c>
      <c r="BA58" s="1061">
        <f t="shared" si="1"/>
        <v>546540202</v>
      </c>
    </row>
    <row r="59" spans="1:53" ht="16.5" x14ac:dyDescent="0.3">
      <c r="A59" s="114" t="s">
        <v>368</v>
      </c>
      <c r="B59" s="114"/>
      <c r="C59" s="660"/>
      <c r="D59" s="659"/>
      <c r="E59" s="659"/>
      <c r="F59" s="659"/>
      <c r="G59" s="659"/>
      <c r="H59" s="659"/>
      <c r="I59" s="659"/>
      <c r="J59" s="659"/>
      <c r="K59" s="659"/>
      <c r="L59" s="659"/>
      <c r="M59" s="659"/>
      <c r="N59" s="659"/>
      <c r="O59" s="659"/>
      <c r="P59" s="659"/>
      <c r="Q59" s="659"/>
      <c r="R59" s="659"/>
      <c r="S59" s="659"/>
      <c r="T59" s="659"/>
      <c r="U59" s="659"/>
      <c r="V59" s="659"/>
      <c r="W59" s="659"/>
      <c r="X59" s="659"/>
      <c r="Y59" s="659"/>
      <c r="Z59" s="659"/>
      <c r="AA59" s="659"/>
      <c r="AB59" s="659"/>
      <c r="AC59" s="659"/>
      <c r="AD59" s="659"/>
      <c r="AE59" s="659"/>
      <c r="AF59" s="659"/>
      <c r="AG59" s="659"/>
      <c r="AH59" s="659"/>
      <c r="AI59" s="659"/>
      <c r="AJ59" s="659"/>
      <c r="AK59" s="659"/>
      <c r="AL59" s="659"/>
      <c r="AM59" s="659"/>
      <c r="AN59" s="659"/>
      <c r="AO59" s="659"/>
      <c r="AP59" s="659"/>
      <c r="AQ59" s="659"/>
      <c r="AR59" s="659"/>
      <c r="AS59" s="659"/>
      <c r="AT59" s="659"/>
      <c r="AU59" s="665"/>
      <c r="AV59" s="987">
        <f t="shared" si="4"/>
        <v>0</v>
      </c>
      <c r="AW59" s="988">
        <f t="shared" si="5"/>
        <v>0</v>
      </c>
      <c r="AX59" s="665"/>
      <c r="AY59" s="660"/>
      <c r="AZ59" s="660">
        <f t="shared" si="1"/>
        <v>0</v>
      </c>
      <c r="BA59" s="660">
        <f t="shared" si="1"/>
        <v>0</v>
      </c>
    </row>
    <row r="60" spans="1:53" ht="16.5" x14ac:dyDescent="0.3">
      <c r="A60" s="114" t="s">
        <v>0</v>
      </c>
      <c r="B60" s="114"/>
      <c r="C60" s="660"/>
      <c r="D60" s="659"/>
      <c r="E60" s="659"/>
      <c r="F60" s="659"/>
      <c r="G60" s="659"/>
      <c r="H60" s="659"/>
      <c r="I60" s="659"/>
      <c r="J60" s="659"/>
      <c r="K60" s="659"/>
      <c r="L60" s="659"/>
      <c r="M60" s="659"/>
      <c r="N60" s="659"/>
      <c r="O60" s="659"/>
      <c r="P60" s="659"/>
      <c r="Q60" s="659"/>
      <c r="R60" s="659"/>
      <c r="S60" s="659"/>
      <c r="T60" s="659"/>
      <c r="U60" s="659"/>
      <c r="V60" s="659"/>
      <c r="W60" s="659"/>
      <c r="X60" s="659"/>
      <c r="Y60" s="659"/>
      <c r="Z60" s="659"/>
      <c r="AA60" s="659"/>
      <c r="AB60" s="659"/>
      <c r="AC60" s="659"/>
      <c r="AD60" s="659"/>
      <c r="AE60" s="659"/>
      <c r="AF60" s="659"/>
      <c r="AG60" s="659"/>
      <c r="AH60" s="659"/>
      <c r="AI60" s="659"/>
      <c r="AJ60" s="659"/>
      <c r="AK60" s="659"/>
      <c r="AL60" s="659"/>
      <c r="AM60" s="659"/>
      <c r="AN60" s="659"/>
      <c r="AO60" s="659"/>
      <c r="AP60" s="659"/>
      <c r="AQ60" s="659"/>
      <c r="AR60" s="659"/>
      <c r="AS60" s="659"/>
      <c r="AT60" s="659"/>
      <c r="AU60" s="665"/>
      <c r="AV60" s="987">
        <f t="shared" si="4"/>
        <v>0</v>
      </c>
      <c r="AW60" s="988">
        <f t="shared" si="5"/>
        <v>0</v>
      </c>
      <c r="AX60" s="665"/>
      <c r="AY60" s="660"/>
      <c r="AZ60" s="660">
        <f t="shared" si="1"/>
        <v>0</v>
      </c>
      <c r="BA60" s="660">
        <f t="shared" si="1"/>
        <v>0</v>
      </c>
    </row>
    <row r="61" spans="1:53" ht="16.5" x14ac:dyDescent="0.3">
      <c r="A61" s="91" t="s">
        <v>369</v>
      </c>
      <c r="B61" s="91">
        <v>25044</v>
      </c>
      <c r="C61" s="660">
        <v>23339</v>
      </c>
      <c r="D61" s="659"/>
      <c r="E61" s="659"/>
      <c r="F61" s="659"/>
      <c r="G61" s="659">
        <v>735</v>
      </c>
      <c r="H61" s="659">
        <v>106796</v>
      </c>
      <c r="I61" s="659">
        <v>156530</v>
      </c>
      <c r="J61" s="659">
        <v>23750</v>
      </c>
      <c r="K61" s="659">
        <v>44000</v>
      </c>
      <c r="L61" s="659"/>
      <c r="M61" s="659"/>
      <c r="N61" s="659">
        <v>31</v>
      </c>
      <c r="O61" s="659">
        <v>31</v>
      </c>
      <c r="P61" s="659"/>
      <c r="Q61" s="659"/>
      <c r="R61" s="659"/>
      <c r="S61" s="659">
        <v>2494</v>
      </c>
      <c r="T61" s="659">
        <v>9661</v>
      </c>
      <c r="U61" s="659">
        <v>6368</v>
      </c>
      <c r="V61" s="659">
        <v>72594</v>
      </c>
      <c r="W61" s="659">
        <v>94006</v>
      </c>
      <c r="X61" s="659">
        <v>47776</v>
      </c>
      <c r="Y61" s="659">
        <v>69967</v>
      </c>
      <c r="Z61" s="659"/>
      <c r="AA61" s="659"/>
      <c r="AB61" s="659">
        <v>630</v>
      </c>
      <c r="AC61" s="659">
        <v>630</v>
      </c>
      <c r="AD61" s="659">
        <v>14156</v>
      </c>
      <c r="AE61" s="659">
        <v>16656</v>
      </c>
      <c r="AF61" s="659">
        <v>37006</v>
      </c>
      <c r="AG61" s="659">
        <v>10000</v>
      </c>
      <c r="AH61" s="659">
        <v>7000</v>
      </c>
      <c r="AI61" s="659">
        <v>19500</v>
      </c>
      <c r="AJ61" s="659">
        <v>2733</v>
      </c>
      <c r="AK61" s="659">
        <v>3148</v>
      </c>
      <c r="AL61" s="659"/>
      <c r="AM61" s="659"/>
      <c r="AN61" s="659">
        <v>57500</v>
      </c>
      <c r="AO61" s="659">
        <v>62000</v>
      </c>
      <c r="AP61" s="659"/>
      <c r="AQ61" s="659"/>
      <c r="AR61" s="659">
        <v>840</v>
      </c>
      <c r="AS61" s="659">
        <v>604</v>
      </c>
      <c r="AT61" s="659"/>
      <c r="AU61" s="665"/>
      <c r="AV61" s="987">
        <f t="shared" si="4"/>
        <v>405517</v>
      </c>
      <c r="AW61" s="988">
        <f t="shared" si="5"/>
        <v>510008</v>
      </c>
      <c r="AX61" s="665">
        <v>60496</v>
      </c>
      <c r="AY61" s="660">
        <v>60496</v>
      </c>
      <c r="AZ61" s="660">
        <f t="shared" si="1"/>
        <v>466013</v>
      </c>
      <c r="BA61" s="660">
        <f t="shared" si="1"/>
        <v>570504</v>
      </c>
    </row>
    <row r="62" spans="1:53" ht="16.5" x14ac:dyDescent="0.3">
      <c r="A62" s="91" t="s">
        <v>370</v>
      </c>
      <c r="B62" s="91">
        <v>234</v>
      </c>
      <c r="C62" s="660">
        <v>234</v>
      </c>
      <c r="D62" s="659"/>
      <c r="E62" s="659"/>
      <c r="F62" s="659">
        <v>278</v>
      </c>
      <c r="G62" s="659">
        <v>174</v>
      </c>
      <c r="H62" s="659"/>
      <c r="I62" s="659"/>
      <c r="J62" s="659">
        <v>6</v>
      </c>
      <c r="K62" s="659">
        <v>6</v>
      </c>
      <c r="L62" s="659">
        <v>2</v>
      </c>
      <c r="M62" s="659">
        <v>2</v>
      </c>
      <c r="N62" s="659">
        <v>4</v>
      </c>
      <c r="O62" s="659">
        <v>25</v>
      </c>
      <c r="P62" s="659"/>
      <c r="Q62" s="659"/>
      <c r="R62" s="659"/>
      <c r="S62" s="659"/>
      <c r="T62" s="659">
        <v>483</v>
      </c>
      <c r="U62" s="659">
        <v>638</v>
      </c>
      <c r="V62" s="659"/>
      <c r="W62" s="659">
        <v>1</v>
      </c>
      <c r="X62" s="659">
        <f>5+59+48</f>
        <v>112</v>
      </c>
      <c r="Y62" s="659">
        <f>5+75+93</f>
        <v>173</v>
      </c>
      <c r="Z62" s="659"/>
      <c r="AA62" s="659"/>
      <c r="AB62" s="659"/>
      <c r="AC62" s="659"/>
      <c r="AD62" s="659">
        <v>41</v>
      </c>
      <c r="AE62" s="659">
        <v>41</v>
      </c>
      <c r="AF62" s="659">
        <v>2746</v>
      </c>
      <c r="AG62" s="659">
        <v>2817</v>
      </c>
      <c r="AH62" s="659">
        <v>196</v>
      </c>
      <c r="AI62" s="659">
        <v>185</v>
      </c>
      <c r="AJ62" s="659">
        <v>216</v>
      </c>
      <c r="AK62" s="659">
        <v>161</v>
      </c>
      <c r="AL62" s="659"/>
      <c r="AM62" s="659"/>
      <c r="AN62" s="659">
        <v>116</v>
      </c>
      <c r="AO62" s="659">
        <v>100</v>
      </c>
      <c r="AP62" s="659"/>
      <c r="AQ62" s="659"/>
      <c r="AR62" s="659">
        <v>70</v>
      </c>
      <c r="AS62" s="659">
        <v>70</v>
      </c>
      <c r="AT62" s="659">
        <v>1144</v>
      </c>
      <c r="AU62" s="665">
        <v>972</v>
      </c>
      <c r="AV62" s="987">
        <f t="shared" si="4"/>
        <v>5648</v>
      </c>
      <c r="AW62" s="988">
        <f t="shared" si="5"/>
        <v>5599</v>
      </c>
      <c r="AX62" s="665">
        <v>1836</v>
      </c>
      <c r="AY62" s="660">
        <v>952</v>
      </c>
      <c r="AZ62" s="660">
        <f t="shared" si="1"/>
        <v>7484</v>
      </c>
      <c r="BA62" s="660">
        <f t="shared" si="1"/>
        <v>6551</v>
      </c>
    </row>
    <row r="63" spans="1:53" ht="16.5" x14ac:dyDescent="0.3">
      <c r="A63" s="91" t="s">
        <v>371</v>
      </c>
      <c r="B63" s="91"/>
      <c r="C63" s="660"/>
      <c r="D63" s="659"/>
      <c r="E63" s="659"/>
      <c r="F63" s="659"/>
      <c r="G63" s="659"/>
      <c r="H63" s="659"/>
      <c r="I63" s="659"/>
      <c r="J63" s="659"/>
      <c r="K63" s="659"/>
      <c r="L63" s="659"/>
      <c r="M63" s="659"/>
      <c r="N63" s="659"/>
      <c r="O63" s="659"/>
      <c r="P63" s="659"/>
      <c r="Q63" s="659"/>
      <c r="R63" s="659"/>
      <c r="S63" s="659"/>
      <c r="T63" s="659"/>
      <c r="U63" s="659"/>
      <c r="V63" s="659"/>
      <c r="W63" s="659"/>
      <c r="X63" s="659"/>
      <c r="Y63" s="659"/>
      <c r="Z63" s="659"/>
      <c r="AA63" s="659"/>
      <c r="AB63" s="659"/>
      <c r="AC63" s="659"/>
      <c r="AD63" s="659"/>
      <c r="AE63" s="659"/>
      <c r="AF63" s="659"/>
      <c r="AG63" s="659"/>
      <c r="AH63" s="659"/>
      <c r="AI63" s="659"/>
      <c r="AJ63" s="659"/>
      <c r="AK63" s="659"/>
      <c r="AL63" s="659"/>
      <c r="AM63" s="659"/>
      <c r="AN63" s="659"/>
      <c r="AO63" s="659"/>
      <c r="AP63" s="659"/>
      <c r="AQ63" s="659"/>
      <c r="AR63" s="659"/>
      <c r="AS63" s="659"/>
      <c r="AT63" s="659"/>
      <c r="AU63" s="665"/>
      <c r="AV63" s="987">
        <f t="shared" si="4"/>
        <v>0</v>
      </c>
      <c r="AW63" s="988">
        <f t="shared" si="5"/>
        <v>0</v>
      </c>
      <c r="AX63" s="665"/>
      <c r="AY63" s="660"/>
      <c r="AZ63" s="660">
        <f t="shared" si="1"/>
        <v>0</v>
      </c>
      <c r="BA63" s="660">
        <f t="shared" si="1"/>
        <v>0</v>
      </c>
    </row>
    <row r="64" spans="1:53" ht="16.5" x14ac:dyDescent="0.3">
      <c r="A64" s="91" t="s">
        <v>372</v>
      </c>
      <c r="B64" s="91">
        <v>25</v>
      </c>
      <c r="C64" s="660">
        <v>25</v>
      </c>
      <c r="D64" s="659"/>
      <c r="E64" s="659"/>
      <c r="F64" s="659"/>
      <c r="G64" s="659"/>
      <c r="H64" s="659">
        <v>41</v>
      </c>
      <c r="I64" s="659">
        <v>41</v>
      </c>
      <c r="J64" s="659">
        <v>25</v>
      </c>
      <c r="K64" s="659">
        <v>25</v>
      </c>
      <c r="L64" s="659">
        <v>50</v>
      </c>
      <c r="M64" s="659">
        <v>51</v>
      </c>
      <c r="N64" s="659"/>
      <c r="O64" s="659"/>
      <c r="P64" s="659"/>
      <c r="Q64" s="659"/>
      <c r="R64" s="659"/>
      <c r="S64" s="659"/>
      <c r="T64" s="659"/>
      <c r="U64" s="659"/>
      <c r="V64" s="659">
        <v>72</v>
      </c>
      <c r="W64" s="659">
        <v>35</v>
      </c>
      <c r="X64" s="659"/>
      <c r="Y64" s="659"/>
      <c r="Z64" s="659">
        <v>25</v>
      </c>
      <c r="AA64" s="659">
        <v>25</v>
      </c>
      <c r="AB64" s="659"/>
      <c r="AC64" s="659"/>
      <c r="AD64" s="659">
        <v>45</v>
      </c>
      <c r="AE64" s="659">
        <v>45</v>
      </c>
      <c r="AF64" s="659">
        <v>25</v>
      </c>
      <c r="AG64" s="659">
        <v>25</v>
      </c>
      <c r="AH64" s="659">
        <v>29</v>
      </c>
      <c r="AI64" s="659">
        <v>44</v>
      </c>
      <c r="AJ64" s="659">
        <v>12</v>
      </c>
      <c r="AK64" s="659">
        <v>11</v>
      </c>
      <c r="AL64" s="659"/>
      <c r="AM64" s="659"/>
      <c r="AN64" s="659"/>
      <c r="AO64" s="659"/>
      <c r="AP64" s="659">
        <v>25</v>
      </c>
      <c r="AQ64" s="659">
        <v>25</v>
      </c>
      <c r="AR64" s="659">
        <v>110</v>
      </c>
      <c r="AS64" s="659">
        <v>25</v>
      </c>
      <c r="AT64" s="659"/>
      <c r="AU64" s="665"/>
      <c r="AV64" s="987">
        <f t="shared" si="4"/>
        <v>484</v>
      </c>
      <c r="AW64" s="988">
        <f t="shared" si="5"/>
        <v>377</v>
      </c>
      <c r="AX64" s="665">
        <v>8</v>
      </c>
      <c r="AY64" s="660">
        <v>7.96</v>
      </c>
      <c r="AZ64" s="660">
        <f t="shared" si="1"/>
        <v>492</v>
      </c>
      <c r="BA64" s="660">
        <f t="shared" si="1"/>
        <v>384.96</v>
      </c>
    </row>
    <row r="65" spans="1:53" ht="16.5" x14ac:dyDescent="0.3">
      <c r="A65" s="91" t="s">
        <v>373</v>
      </c>
      <c r="B65" s="91"/>
      <c r="C65" s="660"/>
      <c r="D65" s="659">
        <v>2626</v>
      </c>
      <c r="E65" s="659">
        <v>821</v>
      </c>
      <c r="F65" s="659"/>
      <c r="G65" s="659"/>
      <c r="H65" s="659"/>
      <c r="I65" s="659"/>
      <c r="J65" s="659">
        <v>1923</v>
      </c>
      <c r="K65" s="659">
        <v>1929</v>
      </c>
      <c r="L65" s="659">
        <v>16824</v>
      </c>
      <c r="M65" s="659">
        <v>15913</v>
      </c>
      <c r="N65" s="659">
        <v>1376</v>
      </c>
      <c r="O65" s="659">
        <v>1316</v>
      </c>
      <c r="P65" s="659"/>
      <c r="Q65" s="659"/>
      <c r="R65" s="659"/>
      <c r="S65" s="659">
        <v>25356</v>
      </c>
      <c r="T65" s="659">
        <v>519</v>
      </c>
      <c r="U65" s="659">
        <v>519</v>
      </c>
      <c r="V65" s="659">
        <v>13382</v>
      </c>
      <c r="W65" s="659">
        <v>10119</v>
      </c>
      <c r="X65" s="659">
        <v>67</v>
      </c>
      <c r="Y65" s="659">
        <v>15370</v>
      </c>
      <c r="Z65" s="659">
        <v>6564</v>
      </c>
      <c r="AA65" s="659">
        <v>7767</v>
      </c>
      <c r="AB65" s="659">
        <v>9267</v>
      </c>
      <c r="AC65" s="659">
        <v>7592</v>
      </c>
      <c r="AD65" s="659">
        <v>20382</v>
      </c>
      <c r="AE65" s="659">
        <v>23339</v>
      </c>
      <c r="AF65" s="659"/>
      <c r="AG65" s="659"/>
      <c r="AH65" s="659">
        <v>1506</v>
      </c>
      <c r="AI65" s="659">
        <v>1506</v>
      </c>
      <c r="AJ65" s="659">
        <v>16062</v>
      </c>
      <c r="AK65" s="659">
        <v>16062</v>
      </c>
      <c r="AL65" s="659"/>
      <c r="AM65" s="659"/>
      <c r="AN65" s="659"/>
      <c r="AO65" s="659"/>
      <c r="AP65" s="659"/>
      <c r="AQ65" s="659"/>
      <c r="AR65" s="659">
        <v>9020</v>
      </c>
      <c r="AS65" s="659">
        <v>8732</v>
      </c>
      <c r="AT65" s="659">
        <v>191</v>
      </c>
      <c r="AU65" s="665">
        <v>124</v>
      </c>
      <c r="AV65" s="987">
        <f t="shared" si="4"/>
        <v>99709</v>
      </c>
      <c r="AW65" s="988">
        <f t="shared" si="5"/>
        <v>136465</v>
      </c>
      <c r="AX65" s="665">
        <v>1337938</v>
      </c>
      <c r="AY65" s="660">
        <v>2035077</v>
      </c>
      <c r="AZ65" s="660">
        <f t="shared" si="1"/>
        <v>1437647</v>
      </c>
      <c r="BA65" s="660">
        <f t="shared" si="1"/>
        <v>2171542</v>
      </c>
    </row>
    <row r="66" spans="1:53" ht="16.5" x14ac:dyDescent="0.3">
      <c r="A66" s="91" t="s">
        <v>374</v>
      </c>
      <c r="B66" s="91"/>
      <c r="C66" s="660"/>
      <c r="D66" s="659"/>
      <c r="E66" s="659"/>
      <c r="F66" s="659"/>
      <c r="G66" s="659"/>
      <c r="H66" s="659"/>
      <c r="I66" s="659"/>
      <c r="J66" s="659"/>
      <c r="K66" s="659"/>
      <c r="L66" s="659"/>
      <c r="M66" s="659"/>
      <c r="N66" s="659"/>
      <c r="O66" s="659"/>
      <c r="P66" s="659"/>
      <c r="Q66" s="659"/>
      <c r="R66" s="659"/>
      <c r="S66" s="659"/>
      <c r="T66" s="659"/>
      <c r="U66" s="659"/>
      <c r="V66" s="659"/>
      <c r="W66" s="659"/>
      <c r="X66" s="659"/>
      <c r="Y66" s="659"/>
      <c r="Z66" s="659"/>
      <c r="AA66" s="659"/>
      <c r="AB66" s="659"/>
      <c r="AC66" s="659"/>
      <c r="AD66" s="659"/>
      <c r="AE66" s="659"/>
      <c r="AF66" s="659"/>
      <c r="AG66" s="659"/>
      <c r="AH66" s="659"/>
      <c r="AI66" s="659"/>
      <c r="AJ66" s="659"/>
      <c r="AK66" s="659"/>
      <c r="AL66" s="659"/>
      <c r="AM66" s="659"/>
      <c r="AN66" s="659"/>
      <c r="AO66" s="659"/>
      <c r="AP66" s="659"/>
      <c r="AQ66" s="659"/>
      <c r="AR66" s="659"/>
      <c r="AS66" s="659"/>
      <c r="AT66" s="659"/>
      <c r="AU66" s="665"/>
      <c r="AV66" s="987">
        <f t="shared" si="4"/>
        <v>0</v>
      </c>
      <c r="AW66" s="988">
        <f t="shared" si="5"/>
        <v>0</v>
      </c>
      <c r="AX66" s="665"/>
      <c r="AY66" s="660"/>
      <c r="AZ66" s="660">
        <f t="shared" si="1"/>
        <v>0</v>
      </c>
      <c r="BA66" s="660">
        <f t="shared" si="1"/>
        <v>0</v>
      </c>
    </row>
    <row r="67" spans="1:53" ht="16.5" x14ac:dyDescent="0.3">
      <c r="A67" s="91" t="s">
        <v>375</v>
      </c>
      <c r="B67" s="91"/>
      <c r="C67" s="660"/>
      <c r="D67" s="659">
        <v>1247</v>
      </c>
      <c r="E67" s="659">
        <v>664</v>
      </c>
      <c r="F67" s="659"/>
      <c r="G67" s="659"/>
      <c r="H67" s="659"/>
      <c r="I67" s="659"/>
      <c r="J67" s="659"/>
      <c r="K67" s="659"/>
      <c r="L67" s="659">
        <v>5412</v>
      </c>
      <c r="M67" s="659">
        <v>4488</v>
      </c>
      <c r="N67" s="659"/>
      <c r="O67" s="659"/>
      <c r="P67" s="659"/>
      <c r="Q67" s="659"/>
      <c r="R67" s="659"/>
      <c r="S67" s="659"/>
      <c r="T67" s="659">
        <v>2922</v>
      </c>
      <c r="U67" s="659">
        <v>1633</v>
      </c>
      <c r="V67" s="659"/>
      <c r="W67" s="659"/>
      <c r="X67" s="659">
        <f>881+20933</f>
        <v>21814</v>
      </c>
      <c r="Y67" s="659">
        <f>808+12019</f>
        <v>12827</v>
      </c>
      <c r="Z67" s="659"/>
      <c r="AA67" s="659"/>
      <c r="AB67" s="659">
        <v>7952</v>
      </c>
      <c r="AC67" s="659">
        <v>5498</v>
      </c>
      <c r="AD67" s="659"/>
      <c r="AE67" s="659"/>
      <c r="AF67" s="659"/>
      <c r="AG67" s="659"/>
      <c r="AH67" s="659"/>
      <c r="AI67" s="659"/>
      <c r="AJ67" s="659"/>
      <c r="AK67" s="659"/>
      <c r="AL67" s="659"/>
      <c r="AM67" s="659"/>
      <c r="AN67" s="659"/>
      <c r="AO67" s="659"/>
      <c r="AP67" s="659"/>
      <c r="AQ67" s="659"/>
      <c r="AR67" s="659"/>
      <c r="AS67" s="659"/>
      <c r="AT67" s="659"/>
      <c r="AU67" s="665"/>
      <c r="AV67" s="987">
        <f t="shared" si="4"/>
        <v>39347</v>
      </c>
      <c r="AW67" s="988">
        <f t="shared" si="5"/>
        <v>25110</v>
      </c>
      <c r="AX67" s="665"/>
      <c r="AY67" s="660"/>
      <c r="AZ67" s="660">
        <f t="shared" si="1"/>
        <v>39347</v>
      </c>
      <c r="BA67" s="660">
        <f t="shared" si="1"/>
        <v>25110</v>
      </c>
    </row>
    <row r="68" spans="1:53" ht="16.5" x14ac:dyDescent="0.3">
      <c r="A68" s="91" t="s">
        <v>73</v>
      </c>
      <c r="B68" s="91">
        <v>5053</v>
      </c>
      <c r="C68" s="660">
        <v>4753</v>
      </c>
      <c r="D68" s="659"/>
      <c r="E68" s="659"/>
      <c r="F68" s="659">
        <v>2019</v>
      </c>
      <c r="G68" s="659">
        <v>2012</v>
      </c>
      <c r="H68" s="659">
        <f>8013+912</f>
        <v>8925</v>
      </c>
      <c r="I68" s="659">
        <f>6704+767</f>
        <v>7471</v>
      </c>
      <c r="J68" s="659">
        <v>4919</v>
      </c>
      <c r="K68" s="659">
        <v>3847</v>
      </c>
      <c r="L68" s="659"/>
      <c r="M68" s="659"/>
      <c r="N68" s="659">
        <f>81+2950</f>
        <v>3031</v>
      </c>
      <c r="O68" s="659">
        <f>81+2773</f>
        <v>2854</v>
      </c>
      <c r="P68" s="659">
        <v>190</v>
      </c>
      <c r="Q68" s="659">
        <v>95</v>
      </c>
      <c r="R68" s="659"/>
      <c r="S68" s="659">
        <f>3855+8128</f>
        <v>11983</v>
      </c>
      <c r="T68" s="659">
        <v>9111</v>
      </c>
      <c r="U68" s="659">
        <v>9111</v>
      </c>
      <c r="V68" s="659">
        <v>138</v>
      </c>
      <c r="W68" s="659">
        <v>4073</v>
      </c>
      <c r="X68" s="659"/>
      <c r="Y68" s="659"/>
      <c r="Z68" s="659">
        <v>2208</v>
      </c>
      <c r="AA68" s="659">
        <v>1853</v>
      </c>
      <c r="AB68" s="659"/>
      <c r="AC68" s="659"/>
      <c r="AD68" s="659">
        <v>2173</v>
      </c>
      <c r="AE68" s="659">
        <v>2068</v>
      </c>
      <c r="AF68" s="659">
        <v>13379</v>
      </c>
      <c r="AG68" s="659">
        <v>8901</v>
      </c>
      <c r="AH68" s="659">
        <v>7284</v>
      </c>
      <c r="AI68" s="659">
        <v>6115</v>
      </c>
      <c r="AJ68" s="659">
        <v>3451</v>
      </c>
      <c r="AK68" s="659">
        <v>3852</v>
      </c>
      <c r="AL68" s="659"/>
      <c r="AM68" s="659"/>
      <c r="AN68" s="659">
        <f>22598+27529</f>
        <v>50127</v>
      </c>
      <c r="AO68" s="659">
        <f>21422+27529</f>
        <v>48951</v>
      </c>
      <c r="AP68" s="659">
        <v>794</v>
      </c>
      <c r="AQ68" s="659">
        <v>665</v>
      </c>
      <c r="AR68" s="659">
        <f>1286+306</f>
        <v>1592</v>
      </c>
      <c r="AS68" s="659">
        <f>1164+304</f>
        <v>1468</v>
      </c>
      <c r="AT68" s="659">
        <f>809+13287</f>
        <v>14096</v>
      </c>
      <c r="AU68" s="665">
        <f>167+466+5107</f>
        <v>5740</v>
      </c>
      <c r="AV68" s="987">
        <f t="shared" si="4"/>
        <v>128490</v>
      </c>
      <c r="AW68" s="988">
        <f t="shared" si="5"/>
        <v>125812</v>
      </c>
      <c r="AX68" s="665">
        <f>49776+94774</f>
        <v>144550</v>
      </c>
      <c r="AY68" s="660">
        <f>47191+25903</f>
        <v>73094</v>
      </c>
      <c r="AZ68" s="660">
        <f t="shared" si="1"/>
        <v>273040</v>
      </c>
      <c r="BA68" s="660">
        <f t="shared" si="1"/>
        <v>198906</v>
      </c>
    </row>
    <row r="69" spans="1:53" ht="18.75" thickBot="1" x14ac:dyDescent="0.4">
      <c r="A69" s="789" t="s">
        <v>54</v>
      </c>
      <c r="B69" s="789"/>
      <c r="C69" s="799">
        <f>SUM(C61:C68)</f>
        <v>28351</v>
      </c>
      <c r="D69" s="800">
        <v>3873</v>
      </c>
      <c r="E69" s="800">
        <v>1485</v>
      </c>
      <c r="F69" s="800"/>
      <c r="G69" s="800">
        <f>G62+G68</f>
        <v>2186</v>
      </c>
      <c r="H69" s="800">
        <v>115761</v>
      </c>
      <c r="I69" s="800">
        <v>244042</v>
      </c>
      <c r="J69" s="800">
        <v>30622</v>
      </c>
      <c r="K69" s="800">
        <v>49807</v>
      </c>
      <c r="L69" s="800">
        <v>22289</v>
      </c>
      <c r="M69" s="800">
        <v>20454</v>
      </c>
      <c r="N69" s="800">
        <v>4442</v>
      </c>
      <c r="O69" s="800">
        <v>4226</v>
      </c>
      <c r="P69" s="800">
        <v>190</v>
      </c>
      <c r="Q69" s="800">
        <f>SUM(Q65:Q68)</f>
        <v>95</v>
      </c>
      <c r="R69" s="800"/>
      <c r="S69" s="800">
        <v>39834</v>
      </c>
      <c r="T69" s="800">
        <v>22696</v>
      </c>
      <c r="U69" s="800">
        <v>18269</v>
      </c>
      <c r="V69" s="800">
        <v>90839</v>
      </c>
      <c r="W69" s="800">
        <v>108234</v>
      </c>
      <c r="X69" s="800">
        <v>69769</v>
      </c>
      <c r="Y69" s="800">
        <v>98337</v>
      </c>
      <c r="Z69" s="800">
        <v>8797</v>
      </c>
      <c r="AA69" s="800">
        <v>9645</v>
      </c>
      <c r="AB69" s="800">
        <v>17850</v>
      </c>
      <c r="AC69" s="800">
        <v>13721</v>
      </c>
      <c r="AD69" s="800">
        <v>36797</v>
      </c>
      <c r="AE69" s="800">
        <v>42149</v>
      </c>
      <c r="AF69" s="800">
        <v>53156</v>
      </c>
      <c r="AG69" s="800">
        <v>21743</v>
      </c>
      <c r="AH69" s="800">
        <v>16016</v>
      </c>
      <c r="AI69" s="800">
        <v>27351</v>
      </c>
      <c r="AJ69" s="800">
        <v>22476</v>
      </c>
      <c r="AK69" s="800">
        <v>23234</v>
      </c>
      <c r="AL69" s="800"/>
      <c r="AM69" s="800"/>
      <c r="AN69" s="800">
        <v>107744</v>
      </c>
      <c r="AO69" s="800">
        <v>111051</v>
      </c>
      <c r="AP69" s="800">
        <v>819</v>
      </c>
      <c r="AQ69" s="800">
        <v>690</v>
      </c>
      <c r="AR69" s="800">
        <v>11632</v>
      </c>
      <c r="AS69" s="800">
        <v>10899</v>
      </c>
      <c r="AT69" s="800">
        <v>15566</v>
      </c>
      <c r="AU69" s="964">
        <v>6836</v>
      </c>
      <c r="AV69" s="1067">
        <f t="shared" si="4"/>
        <v>651334</v>
      </c>
      <c r="AW69" s="990">
        <f>SUM(C69+E69+G69+I69+K69+M69+O69+Q69+S69+U69+W69+Y69+AA69+AC69+AE69+AG69+AI69+AK69+AM69+AO69+AQ69+AS69+AU69)</f>
        <v>882639</v>
      </c>
      <c r="AX69" s="801">
        <v>1544830</v>
      </c>
      <c r="AY69" s="799">
        <v>2169629</v>
      </c>
      <c r="AZ69" s="661">
        <f>AV69+AX69</f>
        <v>2196164</v>
      </c>
      <c r="BA69" s="661">
        <f>AW69+AY69</f>
        <v>3052268</v>
      </c>
    </row>
    <row r="70" spans="1:53" x14ac:dyDescent="0.25">
      <c r="C70" s="802"/>
      <c r="D70" s="802"/>
      <c r="E70" s="802"/>
      <c r="F70" s="802"/>
      <c r="G70" s="802"/>
      <c r="H70" s="802"/>
      <c r="I70" s="802"/>
      <c r="J70" s="802"/>
      <c r="K70" s="802"/>
      <c r="L70" s="802"/>
      <c r="M70" s="802"/>
      <c r="N70" s="802"/>
      <c r="O70" s="802"/>
      <c r="P70" s="802"/>
      <c r="Q70" s="802"/>
      <c r="R70" s="802"/>
      <c r="S70" s="802"/>
      <c r="T70" s="802"/>
      <c r="U70" s="802"/>
      <c r="V70" s="802"/>
      <c r="W70" s="802"/>
      <c r="X70" s="802"/>
      <c r="Y70" s="802"/>
      <c r="Z70" s="802"/>
      <c r="AA70" s="802"/>
      <c r="AB70" s="802"/>
      <c r="AC70" s="802"/>
      <c r="AD70" s="802"/>
      <c r="AE70" s="802"/>
      <c r="AF70" s="802"/>
      <c r="AG70" s="802"/>
      <c r="AH70" s="802"/>
      <c r="AI70" s="802"/>
      <c r="AJ70" s="802"/>
      <c r="AK70" s="802"/>
      <c r="AL70" s="802"/>
      <c r="AM70" s="802"/>
      <c r="AN70" s="802"/>
      <c r="AO70" s="802"/>
      <c r="AP70" s="802"/>
      <c r="AQ70" s="802"/>
      <c r="AR70" s="802"/>
      <c r="AS70" s="802"/>
      <c r="AT70" s="802"/>
      <c r="AU70" s="802"/>
      <c r="AV70" s="802"/>
      <c r="AW70" s="802"/>
      <c r="AX70" s="802"/>
      <c r="AY70" s="802"/>
      <c r="AZ70" s="802"/>
      <c r="BA70" s="802"/>
    </row>
    <row r="71" spans="1:53" x14ac:dyDescent="0.25">
      <c r="C71" s="802"/>
      <c r="D71" s="802"/>
      <c r="E71" s="802"/>
      <c r="F71" s="802"/>
      <c r="G71" s="802"/>
      <c r="H71" s="802"/>
      <c r="I71" s="802"/>
      <c r="J71" s="802"/>
      <c r="K71" s="802"/>
      <c r="L71" s="802"/>
      <c r="M71" s="802"/>
      <c r="N71" s="802"/>
      <c r="O71" s="802"/>
      <c r="P71" s="802"/>
      <c r="Q71" s="802"/>
      <c r="R71" s="802"/>
      <c r="S71" s="802"/>
      <c r="T71" s="802"/>
      <c r="U71" s="802"/>
      <c r="V71" s="802"/>
      <c r="W71" s="802"/>
      <c r="X71" s="802"/>
      <c r="Y71" s="802"/>
      <c r="Z71" s="802"/>
      <c r="AA71" s="802"/>
      <c r="AB71" s="802"/>
      <c r="AC71" s="802"/>
      <c r="AD71" s="802"/>
      <c r="AE71" s="802"/>
      <c r="AF71" s="802"/>
      <c r="AG71" s="802"/>
      <c r="AH71" s="802"/>
      <c r="AI71" s="802"/>
      <c r="AJ71" s="802"/>
      <c r="AK71" s="802"/>
      <c r="AL71" s="802"/>
      <c r="AM71" s="802"/>
      <c r="AN71" s="802"/>
      <c r="AO71" s="802"/>
      <c r="AP71" s="802"/>
      <c r="AQ71" s="802"/>
      <c r="AR71" s="802"/>
      <c r="AS71" s="802"/>
      <c r="AT71" s="802"/>
      <c r="AU71" s="802"/>
      <c r="AV71" s="802"/>
      <c r="AW71" s="802"/>
      <c r="AX71" s="802"/>
      <c r="AY71" s="802"/>
      <c r="AZ71" s="802"/>
      <c r="BA71" s="802"/>
    </row>
  </sheetData>
  <mergeCells count="26">
    <mergeCell ref="AX1:AY1"/>
    <mergeCell ref="AZ1:BA1"/>
    <mergeCell ref="AL1:AM1"/>
    <mergeCell ref="AN1:AO1"/>
    <mergeCell ref="AP1:AQ1"/>
    <mergeCell ref="AR1:AS1"/>
    <mergeCell ref="AT1:AU1"/>
    <mergeCell ref="AV1:AW1"/>
    <mergeCell ref="AJ1:AK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BA14"/>
  <sheetViews>
    <sheetView workbookViewId="0">
      <pane xSplit="1" topLeftCell="AP1" activePane="topRight" state="frozen"/>
      <selection pane="topRight" activeCell="D17" sqref="D17"/>
    </sheetView>
  </sheetViews>
  <sheetFormatPr defaultColWidth="23.5703125" defaultRowHeight="15" x14ac:dyDescent="0.25"/>
  <cols>
    <col min="1" max="1" width="30.42578125" bestFit="1" customWidth="1"/>
    <col min="2" max="15" width="12.85546875" bestFit="1" customWidth="1"/>
    <col min="16" max="16" width="12.85546875" customWidth="1"/>
    <col min="17" max="18" width="12.85546875" bestFit="1" customWidth="1"/>
    <col min="19" max="19" width="12.85546875" customWidth="1"/>
    <col min="20" max="53" width="12.85546875" bestFit="1" customWidth="1"/>
  </cols>
  <sheetData>
    <row r="1" spans="1:53" s="90" customFormat="1" ht="18" x14ac:dyDescent="0.35">
      <c r="A1" s="1390" t="s">
        <v>58</v>
      </c>
      <c r="B1" s="1390"/>
      <c r="C1" s="1390"/>
      <c r="D1" s="1390"/>
      <c r="E1" s="1390"/>
      <c r="F1" s="1390"/>
      <c r="G1" s="1390"/>
      <c r="H1" s="1390"/>
      <c r="I1" s="1390"/>
      <c r="J1" s="1390"/>
      <c r="K1" s="1390"/>
      <c r="L1" s="1390"/>
      <c r="M1" s="1390"/>
      <c r="N1" s="1390"/>
      <c r="O1" s="1390"/>
      <c r="P1" s="1390"/>
      <c r="Q1" s="1390"/>
      <c r="R1" s="1390"/>
      <c r="S1" s="1390"/>
      <c r="T1" s="1390"/>
      <c r="U1" s="1390"/>
      <c r="V1" s="1390"/>
      <c r="W1" s="1390"/>
      <c r="X1" s="1390"/>
      <c r="Y1" s="1390"/>
      <c r="Z1" s="1390"/>
      <c r="AA1" s="1390"/>
      <c r="AB1" s="1390"/>
      <c r="AC1" s="1390"/>
      <c r="AD1" s="1390"/>
      <c r="AE1" s="1390"/>
      <c r="AF1" s="1390"/>
      <c r="AG1" s="1390"/>
      <c r="AH1" s="1390"/>
      <c r="AI1" s="1390"/>
      <c r="AJ1" s="1390"/>
      <c r="AK1" s="1390"/>
      <c r="AL1" s="1390"/>
      <c r="AM1" s="1390"/>
      <c r="AN1" s="1390"/>
      <c r="AO1" s="1390"/>
      <c r="AP1" s="1390"/>
      <c r="AQ1" s="1390"/>
      <c r="AR1" s="1390"/>
      <c r="AS1" s="1390"/>
      <c r="AT1" s="1390"/>
      <c r="AU1" s="1390"/>
      <c r="AV1" s="1390"/>
      <c r="AW1" s="1390"/>
      <c r="AX1" s="1390"/>
      <c r="AY1" s="1390"/>
    </row>
    <row r="2" spans="1:53" s="433" customFormat="1" ht="18" thickBot="1" x14ac:dyDescent="0.4">
      <c r="A2" s="1391" t="s">
        <v>423</v>
      </c>
      <c r="B2" s="1391"/>
      <c r="C2" s="1391"/>
      <c r="D2" s="1391"/>
      <c r="E2" s="1391"/>
      <c r="F2" s="1391"/>
      <c r="G2" s="1391"/>
      <c r="H2" s="1391"/>
      <c r="I2" s="1391"/>
      <c r="J2" s="1391"/>
      <c r="K2" s="1391"/>
      <c r="L2" s="1391"/>
      <c r="M2" s="1391"/>
      <c r="N2" s="1391"/>
      <c r="O2" s="1391"/>
      <c r="P2" s="1391"/>
      <c r="Q2" s="1391"/>
      <c r="R2" s="1391"/>
      <c r="S2" s="1391"/>
      <c r="T2" s="1391"/>
      <c r="U2" s="1391"/>
      <c r="V2" s="1391"/>
      <c r="W2" s="1391"/>
      <c r="X2" s="1391"/>
      <c r="Y2" s="1391"/>
      <c r="Z2" s="1391"/>
      <c r="AA2" s="1391"/>
      <c r="AB2" s="1391"/>
      <c r="AC2" s="1391"/>
      <c r="AD2" s="1391"/>
      <c r="AE2" s="1391"/>
      <c r="AF2" s="1391"/>
      <c r="AG2" s="1391"/>
      <c r="AH2" s="1391"/>
      <c r="AI2" s="1391"/>
      <c r="AJ2" s="1391"/>
      <c r="AK2" s="1391"/>
      <c r="AL2" s="1391"/>
      <c r="AM2" s="1391"/>
      <c r="AN2" s="1391"/>
      <c r="AO2" s="1391"/>
      <c r="AP2" s="1391"/>
      <c r="AQ2" s="1391"/>
      <c r="AR2" s="1391"/>
      <c r="AS2" s="1391"/>
      <c r="AT2" s="1391"/>
      <c r="AU2" s="1391"/>
      <c r="AV2" s="1391"/>
      <c r="AW2" s="1391"/>
      <c r="AX2" s="1391"/>
      <c r="AY2" s="1391"/>
    </row>
    <row r="3" spans="1:53" s="670" customFormat="1" ht="30.75" customHeight="1" x14ac:dyDescent="0.25">
      <c r="A3" s="1392" t="s">
        <v>0</v>
      </c>
      <c r="B3" s="1387" t="s">
        <v>158</v>
      </c>
      <c r="C3" s="1386"/>
      <c r="D3" s="1387" t="s">
        <v>159</v>
      </c>
      <c r="E3" s="1386"/>
      <c r="F3" s="1385" t="s">
        <v>160</v>
      </c>
      <c r="G3" s="1386"/>
      <c r="H3" s="1387" t="s">
        <v>161</v>
      </c>
      <c r="I3" s="1386"/>
      <c r="J3" s="1387" t="s">
        <v>162</v>
      </c>
      <c r="K3" s="1386"/>
      <c r="L3" s="1385" t="s">
        <v>163</v>
      </c>
      <c r="M3" s="1386"/>
      <c r="N3" s="1387" t="s">
        <v>312</v>
      </c>
      <c r="O3" s="1386"/>
      <c r="P3" s="1387" t="s">
        <v>164</v>
      </c>
      <c r="Q3" s="1386"/>
      <c r="R3" s="1387" t="s">
        <v>165</v>
      </c>
      <c r="S3" s="1386"/>
      <c r="T3" s="1387" t="s">
        <v>166</v>
      </c>
      <c r="U3" s="1386"/>
      <c r="V3" s="1387" t="s">
        <v>167</v>
      </c>
      <c r="W3" s="1386"/>
      <c r="X3" s="1385" t="s">
        <v>168</v>
      </c>
      <c r="Y3" s="1386"/>
      <c r="Z3" s="1387" t="s">
        <v>381</v>
      </c>
      <c r="AA3" s="1386"/>
      <c r="AB3" s="1387" t="s">
        <v>169</v>
      </c>
      <c r="AC3" s="1386"/>
      <c r="AD3" s="1388" t="s">
        <v>170</v>
      </c>
      <c r="AE3" s="1389"/>
      <c r="AF3" s="1385" t="s">
        <v>171</v>
      </c>
      <c r="AG3" s="1386"/>
      <c r="AH3" s="1385" t="s">
        <v>172</v>
      </c>
      <c r="AI3" s="1386"/>
      <c r="AJ3" s="1387" t="s">
        <v>173</v>
      </c>
      <c r="AK3" s="1386"/>
      <c r="AL3" s="1388" t="s">
        <v>174</v>
      </c>
      <c r="AM3" s="1389"/>
      <c r="AN3" s="1385" t="s">
        <v>175</v>
      </c>
      <c r="AO3" s="1386"/>
      <c r="AP3" s="1387" t="s">
        <v>176</v>
      </c>
      <c r="AQ3" s="1386"/>
      <c r="AR3" s="1385" t="s">
        <v>177</v>
      </c>
      <c r="AS3" s="1386"/>
      <c r="AT3" s="1385" t="s">
        <v>178</v>
      </c>
      <c r="AU3" s="1386"/>
      <c r="AV3" s="1387" t="s">
        <v>1</v>
      </c>
      <c r="AW3" s="1386"/>
      <c r="AX3" s="1394" t="s">
        <v>179</v>
      </c>
      <c r="AY3" s="1395"/>
      <c r="AZ3" s="1388" t="s">
        <v>2</v>
      </c>
      <c r="BA3" s="1389"/>
    </row>
    <row r="4" spans="1:53" s="434" customFormat="1" ht="15.75" thickBot="1" x14ac:dyDescent="0.3">
      <c r="A4" s="1393"/>
      <c r="B4" s="760" t="s">
        <v>437</v>
      </c>
      <c r="C4" s="432" t="s">
        <v>420</v>
      </c>
      <c r="D4" s="760" t="s">
        <v>437</v>
      </c>
      <c r="E4" s="432" t="s">
        <v>420</v>
      </c>
      <c r="F4" s="760" t="s">
        <v>437</v>
      </c>
      <c r="G4" s="432" t="s">
        <v>420</v>
      </c>
      <c r="H4" s="760" t="s">
        <v>437</v>
      </c>
      <c r="I4" s="432" t="s">
        <v>420</v>
      </c>
      <c r="J4" s="760" t="s">
        <v>437</v>
      </c>
      <c r="K4" s="432" t="s">
        <v>420</v>
      </c>
      <c r="L4" s="760" t="s">
        <v>437</v>
      </c>
      <c r="M4" s="432" t="s">
        <v>420</v>
      </c>
      <c r="N4" s="760" t="s">
        <v>437</v>
      </c>
      <c r="O4" s="432" t="s">
        <v>420</v>
      </c>
      <c r="P4" s="760" t="s">
        <v>437</v>
      </c>
      <c r="Q4" s="432" t="s">
        <v>420</v>
      </c>
      <c r="R4" s="760" t="s">
        <v>437</v>
      </c>
      <c r="S4" s="432" t="s">
        <v>420</v>
      </c>
      <c r="T4" s="760" t="s">
        <v>437</v>
      </c>
      <c r="U4" s="432" t="s">
        <v>420</v>
      </c>
      <c r="V4" s="760" t="s">
        <v>437</v>
      </c>
      <c r="W4" s="432" t="s">
        <v>420</v>
      </c>
      <c r="X4" s="760" t="s">
        <v>437</v>
      </c>
      <c r="Y4" s="432" t="s">
        <v>420</v>
      </c>
      <c r="Z4" s="760" t="s">
        <v>437</v>
      </c>
      <c r="AA4" s="432" t="s">
        <v>420</v>
      </c>
      <c r="AB4" s="760" t="s">
        <v>437</v>
      </c>
      <c r="AC4" s="432" t="s">
        <v>420</v>
      </c>
      <c r="AD4" s="760" t="s">
        <v>437</v>
      </c>
      <c r="AE4" s="432" t="s">
        <v>420</v>
      </c>
      <c r="AF4" s="760" t="s">
        <v>437</v>
      </c>
      <c r="AG4" s="432" t="s">
        <v>420</v>
      </c>
      <c r="AH4" s="760" t="s">
        <v>437</v>
      </c>
      <c r="AI4" s="432" t="s">
        <v>420</v>
      </c>
      <c r="AJ4" s="760" t="s">
        <v>437</v>
      </c>
      <c r="AK4" s="432" t="s">
        <v>420</v>
      </c>
      <c r="AL4" s="760" t="s">
        <v>437</v>
      </c>
      <c r="AM4" s="432" t="s">
        <v>420</v>
      </c>
      <c r="AN4" s="760" t="s">
        <v>437</v>
      </c>
      <c r="AO4" s="432" t="s">
        <v>420</v>
      </c>
      <c r="AP4" s="760" t="s">
        <v>437</v>
      </c>
      <c r="AQ4" s="432" t="s">
        <v>420</v>
      </c>
      <c r="AR4" s="760" t="s">
        <v>437</v>
      </c>
      <c r="AS4" s="432" t="s">
        <v>420</v>
      </c>
      <c r="AT4" s="760" t="s">
        <v>437</v>
      </c>
      <c r="AU4" s="432" t="s">
        <v>420</v>
      </c>
      <c r="AV4" s="1250" t="s">
        <v>437</v>
      </c>
      <c r="AW4" s="1249" t="s">
        <v>420</v>
      </c>
      <c r="AX4" s="760" t="s">
        <v>437</v>
      </c>
      <c r="AY4" s="432" t="s">
        <v>420</v>
      </c>
      <c r="AZ4" s="1250" t="s">
        <v>437</v>
      </c>
      <c r="BA4" s="1249" t="s">
        <v>420</v>
      </c>
    </row>
    <row r="5" spans="1:53" s="93" customFormat="1" ht="14.25" x14ac:dyDescent="0.25">
      <c r="A5" s="353" t="s">
        <v>21</v>
      </c>
      <c r="B5" s="735"/>
      <c r="C5" s="153"/>
      <c r="D5" s="152"/>
      <c r="E5" s="153"/>
      <c r="F5" s="742"/>
      <c r="G5" s="153"/>
      <c r="H5" s="152"/>
      <c r="I5" s="153"/>
      <c r="J5" s="152"/>
      <c r="K5" s="153"/>
      <c r="L5" s="742"/>
      <c r="M5" s="153"/>
      <c r="N5" s="152"/>
      <c r="O5" s="153"/>
      <c r="P5" s="152"/>
      <c r="Q5" s="153"/>
      <c r="R5" s="152"/>
      <c r="S5" s="153"/>
      <c r="T5" s="152"/>
      <c r="U5" s="153"/>
      <c r="V5" s="156"/>
      <c r="W5" s="154"/>
      <c r="X5" s="682"/>
      <c r="Y5" s="199"/>
      <c r="Z5" s="763"/>
      <c r="AA5" s="763"/>
      <c r="AB5" s="152"/>
      <c r="AC5" s="153"/>
      <c r="AD5" s="152"/>
      <c r="AE5" s="153"/>
      <c r="AF5" s="682"/>
      <c r="AG5" s="199"/>
      <c r="AH5" s="682"/>
      <c r="AI5" s="199"/>
      <c r="AJ5" s="152"/>
      <c r="AK5" s="153"/>
      <c r="AL5" s="198"/>
      <c r="AM5" s="199"/>
      <c r="AN5" s="682"/>
      <c r="AO5" s="199"/>
      <c r="AP5" s="152"/>
      <c r="AQ5" s="153"/>
      <c r="AR5" s="682"/>
      <c r="AS5" s="199"/>
      <c r="AT5" s="682"/>
      <c r="AU5" s="199"/>
      <c r="AV5" s="1251"/>
      <c r="AW5" s="199"/>
      <c r="AX5" s="742"/>
      <c r="AY5" s="1253"/>
      <c r="AZ5" s="1256"/>
      <c r="BA5" s="1257"/>
    </row>
    <row r="6" spans="1:53" s="93" customFormat="1" ht="14.25" x14ac:dyDescent="0.3">
      <c r="A6" s="91" t="s">
        <v>22</v>
      </c>
      <c r="B6" s="736"/>
      <c r="C6" s="94"/>
      <c r="D6" s="96"/>
      <c r="E6" s="97"/>
      <c r="F6" s="743"/>
      <c r="G6" s="97"/>
      <c r="H6" s="96"/>
      <c r="I6" s="97"/>
      <c r="J6" s="96"/>
      <c r="K6" s="97"/>
      <c r="L6" s="743"/>
      <c r="M6" s="97"/>
      <c r="N6" s="96"/>
      <c r="O6" s="97"/>
      <c r="P6" s="96"/>
      <c r="Q6" s="97"/>
      <c r="R6" s="96"/>
      <c r="S6" s="97"/>
      <c r="T6" s="96"/>
      <c r="U6" s="97"/>
      <c r="V6" s="99"/>
      <c r="W6" s="100"/>
      <c r="X6" s="743"/>
      <c r="Y6" s="97"/>
      <c r="Z6" s="764"/>
      <c r="AA6" s="764"/>
      <c r="AB6" s="96"/>
      <c r="AC6" s="97"/>
      <c r="AD6" s="96"/>
      <c r="AE6" s="97"/>
      <c r="AF6" s="743"/>
      <c r="AG6" s="97"/>
      <c r="AH6" s="743"/>
      <c r="AI6" s="97"/>
      <c r="AJ6" s="96"/>
      <c r="AK6" s="97"/>
      <c r="AL6" s="95"/>
      <c r="AM6" s="97"/>
      <c r="AN6" s="356"/>
      <c r="AO6" s="92"/>
      <c r="AP6" s="102"/>
      <c r="AQ6" s="771"/>
      <c r="AR6" s="769"/>
      <c r="AS6" s="103"/>
      <c r="AT6" s="743"/>
      <c r="AU6" s="97"/>
      <c r="AV6" s="1252"/>
      <c r="AW6" s="126"/>
      <c r="AX6" s="769"/>
      <c r="AY6" s="1254"/>
      <c r="AZ6" s="95"/>
      <c r="BA6" s="92"/>
    </row>
    <row r="7" spans="1:53" s="93" customFormat="1" ht="14.25" x14ac:dyDescent="0.3">
      <c r="A7" s="91" t="s">
        <v>23</v>
      </c>
      <c r="B7" s="728">
        <v>323598</v>
      </c>
      <c r="C7" s="105">
        <v>239296</v>
      </c>
      <c r="D7" s="99">
        <v>172</v>
      </c>
      <c r="E7" s="100">
        <v>1625</v>
      </c>
      <c r="F7" s="119">
        <v>29922</v>
      </c>
      <c r="G7" s="100">
        <v>27296</v>
      </c>
      <c r="H7" s="99">
        <v>515816</v>
      </c>
      <c r="I7" s="100">
        <v>365555</v>
      </c>
      <c r="J7" s="99">
        <v>76239</v>
      </c>
      <c r="K7" s="100">
        <v>70682</v>
      </c>
      <c r="L7" s="119">
        <v>163745</v>
      </c>
      <c r="M7" s="100">
        <v>133613</v>
      </c>
      <c r="N7" s="99">
        <v>15348</v>
      </c>
      <c r="O7" s="100">
        <v>11451</v>
      </c>
      <c r="P7" s="99">
        <v>50141</v>
      </c>
      <c r="Q7" s="100">
        <v>42385</v>
      </c>
      <c r="R7" s="99"/>
      <c r="S7" s="100">
        <v>85891</v>
      </c>
      <c r="T7" s="99">
        <v>67624</v>
      </c>
      <c r="U7" s="100">
        <v>42994</v>
      </c>
      <c r="V7" s="99">
        <v>1096982</v>
      </c>
      <c r="W7" s="100">
        <v>805437</v>
      </c>
      <c r="X7" s="119">
        <v>649383</v>
      </c>
      <c r="Y7" s="100">
        <v>596551</v>
      </c>
      <c r="Z7" s="765">
        <v>45008</v>
      </c>
      <c r="AA7" s="765">
        <v>36748</v>
      </c>
      <c r="AB7" s="96">
        <v>170269</v>
      </c>
      <c r="AC7" s="97">
        <v>133625</v>
      </c>
      <c r="AD7" s="99">
        <v>372319</v>
      </c>
      <c r="AE7" s="100">
        <v>318902</v>
      </c>
      <c r="AF7" s="119">
        <v>589958</v>
      </c>
      <c r="AG7" s="100">
        <v>531749</v>
      </c>
      <c r="AH7" s="119">
        <v>231356</v>
      </c>
      <c r="AI7" s="100">
        <v>187685</v>
      </c>
      <c r="AJ7" s="99">
        <v>108174</v>
      </c>
      <c r="AK7" s="100">
        <v>121270</v>
      </c>
      <c r="AL7" s="95"/>
      <c r="AM7" s="97"/>
      <c r="AN7" s="72">
        <v>1519707</v>
      </c>
      <c r="AO7" s="73">
        <v>1294154</v>
      </c>
      <c r="AP7" s="110">
        <v>68566</v>
      </c>
      <c r="AQ7" s="756">
        <v>74142</v>
      </c>
      <c r="AR7" s="713">
        <v>219603</v>
      </c>
      <c r="AS7" s="756">
        <v>154115</v>
      </c>
      <c r="AT7" s="119">
        <v>734132</v>
      </c>
      <c r="AU7" s="100">
        <v>463546</v>
      </c>
      <c r="AV7" s="1247">
        <f t="shared" ref="AV7:AW10" si="0">SUM(B7+D7+F7+H7+J7+L7+N7+P7+R7+T7+V7+X7+Z7+AB7+AD7+AF7+AH7+AJ7+AL7+AN7+AP7+AR7+AT7)</f>
        <v>7048062</v>
      </c>
      <c r="AW7" s="116">
        <f t="shared" si="0"/>
        <v>5738712</v>
      </c>
      <c r="AX7" s="713">
        <v>3908994</v>
      </c>
      <c r="AY7" s="121">
        <v>3664934</v>
      </c>
      <c r="AZ7" s="112">
        <f t="shared" ref="AZ7:BA10" si="1">AV7+AX7</f>
        <v>10957056</v>
      </c>
      <c r="BA7" s="116">
        <f t="shared" si="1"/>
        <v>9403646</v>
      </c>
    </row>
    <row r="8" spans="1:53" s="93" customFormat="1" ht="14.25" x14ac:dyDescent="0.3">
      <c r="A8" s="91" t="s">
        <v>24</v>
      </c>
      <c r="B8" s="728">
        <v>739694</v>
      </c>
      <c r="C8" s="105">
        <v>647528</v>
      </c>
      <c r="D8" s="99">
        <v>35850</v>
      </c>
      <c r="E8" s="100">
        <v>39979</v>
      </c>
      <c r="F8" s="119">
        <v>97839</v>
      </c>
      <c r="G8" s="100">
        <v>97547</v>
      </c>
      <c r="H8" s="99">
        <v>872364</v>
      </c>
      <c r="I8" s="100">
        <v>699061</v>
      </c>
      <c r="J8" s="99">
        <v>190429</v>
      </c>
      <c r="K8" s="100">
        <v>166632</v>
      </c>
      <c r="L8" s="119">
        <v>348075</v>
      </c>
      <c r="M8" s="100">
        <v>309420</v>
      </c>
      <c r="N8" s="99">
        <v>79698</v>
      </c>
      <c r="O8" s="100">
        <v>79392</v>
      </c>
      <c r="P8" s="99">
        <v>114688</v>
      </c>
      <c r="Q8" s="100">
        <v>98375</v>
      </c>
      <c r="R8" s="99"/>
      <c r="S8" s="100">
        <v>276587</v>
      </c>
      <c r="T8" s="99">
        <v>105895</v>
      </c>
      <c r="U8" s="100">
        <v>97657</v>
      </c>
      <c r="V8" s="99">
        <v>2724094</v>
      </c>
      <c r="W8" s="100">
        <v>2180801</v>
      </c>
      <c r="X8" s="119">
        <v>2252026</v>
      </c>
      <c r="Y8" s="100">
        <v>2195575</v>
      </c>
      <c r="Z8" s="765">
        <v>137760</v>
      </c>
      <c r="AA8" s="765">
        <v>139089</v>
      </c>
      <c r="AB8" s="96">
        <v>311585</v>
      </c>
      <c r="AC8" s="97">
        <v>242035</v>
      </c>
      <c r="AD8" s="99">
        <v>765179</v>
      </c>
      <c r="AE8" s="100">
        <v>687235</v>
      </c>
      <c r="AF8" s="119">
        <v>1638231</v>
      </c>
      <c r="AG8" s="100">
        <v>1450925</v>
      </c>
      <c r="AH8" s="119">
        <v>556579</v>
      </c>
      <c r="AI8" s="100">
        <v>488016</v>
      </c>
      <c r="AJ8" s="99">
        <v>399660</v>
      </c>
      <c r="AK8" s="100">
        <v>375426</v>
      </c>
      <c r="AL8" s="95"/>
      <c r="AM8" s="97"/>
      <c r="AN8" s="72">
        <v>3772701</v>
      </c>
      <c r="AO8" s="73">
        <v>3330229</v>
      </c>
      <c r="AP8" s="110">
        <v>139371</v>
      </c>
      <c r="AQ8" s="756">
        <v>128001</v>
      </c>
      <c r="AR8" s="713">
        <v>262835</v>
      </c>
      <c r="AS8" s="756">
        <v>221049</v>
      </c>
      <c r="AT8" s="119">
        <v>1196354</v>
      </c>
      <c r="AU8" s="100">
        <v>908652</v>
      </c>
      <c r="AV8" s="1247">
        <f t="shared" si="0"/>
        <v>16740907</v>
      </c>
      <c r="AW8" s="116">
        <f t="shared" si="0"/>
        <v>14859211</v>
      </c>
      <c r="AX8" s="713">
        <v>24261754</v>
      </c>
      <c r="AY8" s="121">
        <v>22909279</v>
      </c>
      <c r="AZ8" s="112">
        <f t="shared" si="1"/>
        <v>41002661</v>
      </c>
      <c r="BA8" s="116">
        <f t="shared" si="1"/>
        <v>37768490</v>
      </c>
    </row>
    <row r="9" spans="1:53" s="93" customFormat="1" ht="14.25" x14ac:dyDescent="0.3">
      <c r="A9" s="91" t="s">
        <v>25</v>
      </c>
      <c r="B9" s="728">
        <v>443677</v>
      </c>
      <c r="C9" s="105">
        <v>327199</v>
      </c>
      <c r="D9" s="99">
        <v>970</v>
      </c>
      <c r="E9" s="100">
        <v>42</v>
      </c>
      <c r="F9" s="119">
        <v>3984</v>
      </c>
      <c r="G9" s="100">
        <v>1971</v>
      </c>
      <c r="H9" s="99">
        <v>557963</v>
      </c>
      <c r="I9" s="100">
        <v>548089</v>
      </c>
      <c r="J9" s="99">
        <v>25390</v>
      </c>
      <c r="K9" s="100">
        <v>22841</v>
      </c>
      <c r="L9" s="119">
        <v>207919</v>
      </c>
      <c r="M9" s="100">
        <v>145960</v>
      </c>
      <c r="N9" s="99">
        <v>54493</v>
      </c>
      <c r="O9" s="100">
        <v>19036</v>
      </c>
      <c r="P9" s="99">
        <v>4218</v>
      </c>
      <c r="Q9" s="100">
        <v>5660</v>
      </c>
      <c r="R9" s="99"/>
      <c r="S9" s="100">
        <v>14318</v>
      </c>
      <c r="T9" s="99">
        <v>2283</v>
      </c>
      <c r="U9" s="100">
        <v>2703</v>
      </c>
      <c r="V9" s="99">
        <v>1771331</v>
      </c>
      <c r="W9" s="100">
        <v>1610045</v>
      </c>
      <c r="X9" s="119">
        <v>1091869</v>
      </c>
      <c r="Y9" s="100">
        <v>953674</v>
      </c>
      <c r="Z9" s="765">
        <v>46131</v>
      </c>
      <c r="AA9" s="765">
        <v>44896</v>
      </c>
      <c r="AB9" s="96">
        <v>125598</v>
      </c>
      <c r="AC9" s="97">
        <v>142995</v>
      </c>
      <c r="AD9" s="99">
        <v>394548</v>
      </c>
      <c r="AE9" s="100">
        <v>295374</v>
      </c>
      <c r="AF9" s="119">
        <v>306002</v>
      </c>
      <c r="AG9" s="100">
        <v>258743</v>
      </c>
      <c r="AH9" s="119">
        <v>90586</v>
      </c>
      <c r="AI9" s="100">
        <v>59125</v>
      </c>
      <c r="AJ9" s="99">
        <v>4377</v>
      </c>
      <c r="AK9" s="100">
        <v>6962</v>
      </c>
      <c r="AL9" s="95"/>
      <c r="AM9" s="97"/>
      <c r="AN9" s="72">
        <v>1439153</v>
      </c>
      <c r="AO9" s="73">
        <v>1251581</v>
      </c>
      <c r="AP9" s="110">
        <v>46703</v>
      </c>
      <c r="AQ9" s="756">
        <v>34817</v>
      </c>
      <c r="AR9" s="713">
        <v>92198</v>
      </c>
      <c r="AS9" s="756">
        <v>38516</v>
      </c>
      <c r="AT9" s="119">
        <v>119865</v>
      </c>
      <c r="AU9" s="100">
        <v>72304</v>
      </c>
      <c r="AV9" s="1247">
        <f t="shared" si="0"/>
        <v>6829258</v>
      </c>
      <c r="AW9" s="116">
        <f t="shared" si="0"/>
        <v>5856851</v>
      </c>
      <c r="AX9" s="713">
        <v>19296065</v>
      </c>
      <c r="AY9" s="121">
        <v>16228282</v>
      </c>
      <c r="AZ9" s="112">
        <f t="shared" si="1"/>
        <v>26125323</v>
      </c>
      <c r="BA9" s="116">
        <f t="shared" si="1"/>
        <v>22085133</v>
      </c>
    </row>
    <row r="10" spans="1:53" s="681" customFormat="1" ht="14.25" x14ac:dyDescent="0.3">
      <c r="A10" s="671" t="s">
        <v>26</v>
      </c>
      <c r="B10" s="675">
        <f t="shared" ref="B10:G10" si="2">SUM(B7:B9)</f>
        <v>1506969</v>
      </c>
      <c r="C10" s="673">
        <f t="shared" si="2"/>
        <v>1214023</v>
      </c>
      <c r="D10" s="672">
        <f t="shared" si="2"/>
        <v>36992</v>
      </c>
      <c r="E10" s="673">
        <f t="shared" si="2"/>
        <v>41646</v>
      </c>
      <c r="F10" s="672">
        <f t="shared" si="2"/>
        <v>131745</v>
      </c>
      <c r="G10" s="673">
        <f t="shared" si="2"/>
        <v>126814</v>
      </c>
      <c r="H10" s="672">
        <f t="shared" ref="H10:W10" si="3">SUM(H7:H9)</f>
        <v>1946143</v>
      </c>
      <c r="I10" s="673">
        <f t="shared" si="3"/>
        <v>1612705</v>
      </c>
      <c r="J10" s="672">
        <f t="shared" si="3"/>
        <v>292058</v>
      </c>
      <c r="K10" s="673">
        <f t="shared" si="3"/>
        <v>260155</v>
      </c>
      <c r="L10" s="672">
        <f t="shared" si="3"/>
        <v>719739</v>
      </c>
      <c r="M10" s="673">
        <f t="shared" si="3"/>
        <v>588993</v>
      </c>
      <c r="N10" s="672">
        <f t="shared" si="3"/>
        <v>149539</v>
      </c>
      <c r="O10" s="673">
        <f t="shared" si="3"/>
        <v>109879</v>
      </c>
      <c r="P10" s="672">
        <f t="shared" si="3"/>
        <v>169047</v>
      </c>
      <c r="Q10" s="673">
        <f t="shared" si="3"/>
        <v>146420</v>
      </c>
      <c r="R10" s="672">
        <f t="shared" si="3"/>
        <v>0</v>
      </c>
      <c r="S10" s="673">
        <f t="shared" si="3"/>
        <v>376796</v>
      </c>
      <c r="T10" s="672">
        <f t="shared" si="3"/>
        <v>175802</v>
      </c>
      <c r="U10" s="673">
        <f t="shared" si="3"/>
        <v>143354</v>
      </c>
      <c r="V10" s="672">
        <f t="shared" si="3"/>
        <v>5592407</v>
      </c>
      <c r="W10" s="673">
        <f t="shared" si="3"/>
        <v>4596283</v>
      </c>
      <c r="X10" s="672">
        <f t="shared" ref="X10:AM10" si="4">SUM(X7:X9)</f>
        <v>3993278</v>
      </c>
      <c r="Y10" s="676">
        <f t="shared" si="4"/>
        <v>3745800</v>
      </c>
      <c r="Z10" s="673">
        <f t="shared" si="4"/>
        <v>228899</v>
      </c>
      <c r="AA10" s="673">
        <f t="shared" si="4"/>
        <v>220733</v>
      </c>
      <c r="AB10" s="677">
        <f t="shared" si="4"/>
        <v>607452</v>
      </c>
      <c r="AC10" s="678">
        <f t="shared" si="4"/>
        <v>518655</v>
      </c>
      <c r="AD10" s="672">
        <f t="shared" si="4"/>
        <v>1532046</v>
      </c>
      <c r="AE10" s="673">
        <f t="shared" si="4"/>
        <v>1301511</v>
      </c>
      <c r="AF10" s="672">
        <f t="shared" si="4"/>
        <v>2534191</v>
      </c>
      <c r="AG10" s="676">
        <f t="shared" si="4"/>
        <v>2241417</v>
      </c>
      <c r="AH10" s="672">
        <f t="shared" si="4"/>
        <v>878521</v>
      </c>
      <c r="AI10" s="676">
        <f t="shared" si="4"/>
        <v>734826</v>
      </c>
      <c r="AJ10" s="672">
        <f t="shared" si="4"/>
        <v>512211</v>
      </c>
      <c r="AK10" s="673">
        <f t="shared" si="4"/>
        <v>503658</v>
      </c>
      <c r="AL10" s="675">
        <f t="shared" si="4"/>
        <v>0</v>
      </c>
      <c r="AM10" s="676">
        <f t="shared" si="4"/>
        <v>0</v>
      </c>
      <c r="AN10" s="672">
        <f t="shared" ref="AN10:AU10" si="5">SUM(AN7:AN9)</f>
        <v>6731561</v>
      </c>
      <c r="AO10" s="676">
        <f t="shared" si="5"/>
        <v>5875964</v>
      </c>
      <c r="AP10" s="672">
        <f t="shared" si="5"/>
        <v>254640</v>
      </c>
      <c r="AQ10" s="673">
        <f t="shared" si="5"/>
        <v>236960</v>
      </c>
      <c r="AR10" s="672">
        <f t="shared" si="5"/>
        <v>574636</v>
      </c>
      <c r="AS10" s="676">
        <f t="shared" si="5"/>
        <v>413680</v>
      </c>
      <c r="AT10" s="672">
        <f t="shared" si="5"/>
        <v>2050351</v>
      </c>
      <c r="AU10" s="676">
        <f t="shared" si="5"/>
        <v>1444502</v>
      </c>
      <c r="AV10" s="721">
        <f t="shared" si="0"/>
        <v>30618227</v>
      </c>
      <c r="AW10" s="1218">
        <f t="shared" si="0"/>
        <v>26454774</v>
      </c>
      <c r="AX10" s="1230">
        <f>SUM(AX7:AX9)</f>
        <v>47466813</v>
      </c>
      <c r="AY10" s="721">
        <f>SUM(AY7:AY9)</f>
        <v>42802495</v>
      </c>
      <c r="AZ10" s="679">
        <f>AV10+AX10</f>
        <v>78085040</v>
      </c>
      <c r="BA10" s="1218">
        <f t="shared" si="1"/>
        <v>69257269</v>
      </c>
    </row>
    <row r="11" spans="1:53" s="93" customFormat="1" ht="14.25" x14ac:dyDescent="0.3">
      <c r="A11" s="91" t="s">
        <v>27</v>
      </c>
      <c r="B11" s="728"/>
      <c r="C11" s="105"/>
      <c r="D11" s="99"/>
      <c r="E11" s="100"/>
      <c r="F11" s="119"/>
      <c r="G11" s="100"/>
      <c r="H11" s="99"/>
      <c r="I11" s="100"/>
      <c r="J11" s="99"/>
      <c r="K11" s="100"/>
      <c r="L11" s="119"/>
      <c r="M11" s="100"/>
      <c r="N11" s="99"/>
      <c r="O11" s="100"/>
      <c r="P11" s="99"/>
      <c r="Q11" s="100"/>
      <c r="R11" s="99"/>
      <c r="S11" s="100"/>
      <c r="T11" s="99"/>
      <c r="U11" s="100"/>
      <c r="V11" s="99"/>
      <c r="W11" s="100"/>
      <c r="X11" s="119"/>
      <c r="Y11" s="100"/>
      <c r="Z11" s="766"/>
      <c r="AA11" s="766"/>
      <c r="AB11" s="96"/>
      <c r="AC11" s="97"/>
      <c r="AD11" s="99"/>
      <c r="AE11" s="100"/>
      <c r="AF11" s="119"/>
      <c r="AG11" s="100"/>
      <c r="AH11" s="119"/>
      <c r="AI11" s="100"/>
      <c r="AJ11" s="99"/>
      <c r="AK11" s="100"/>
      <c r="AL11" s="95"/>
      <c r="AM11" s="97"/>
      <c r="AN11" s="356"/>
      <c r="AO11" s="92"/>
      <c r="AP11" s="110"/>
      <c r="AQ11" s="756"/>
      <c r="AR11" s="713"/>
      <c r="AS11" s="111"/>
      <c r="AT11" s="119"/>
      <c r="AU11" s="100"/>
      <c r="AV11" s="1247"/>
      <c r="AW11" s="116"/>
      <c r="AX11" s="713"/>
      <c r="AY11" s="121"/>
      <c r="AZ11" s="112"/>
      <c r="BA11" s="116"/>
    </row>
    <row r="12" spans="1:53" s="93" customFormat="1" ht="14.25" x14ac:dyDescent="0.3">
      <c r="A12" s="91" t="s">
        <v>28</v>
      </c>
      <c r="B12" s="728">
        <f>B10</f>
        <v>1506969</v>
      </c>
      <c r="C12" s="105">
        <f>C10</f>
        <v>1214023</v>
      </c>
      <c r="D12" s="122">
        <f t="shared" ref="D12:W12" si="6">D10</f>
        <v>36992</v>
      </c>
      <c r="E12" s="123">
        <f t="shared" si="6"/>
        <v>41646</v>
      </c>
      <c r="F12" s="122">
        <f t="shared" si="6"/>
        <v>131745</v>
      </c>
      <c r="G12" s="123">
        <f t="shared" si="6"/>
        <v>126814</v>
      </c>
      <c r="H12" s="122">
        <f t="shared" si="6"/>
        <v>1946143</v>
      </c>
      <c r="I12" s="123">
        <f t="shared" si="6"/>
        <v>1612705</v>
      </c>
      <c r="J12" s="122">
        <f t="shared" si="6"/>
        <v>292058</v>
      </c>
      <c r="K12" s="123">
        <f t="shared" si="6"/>
        <v>260155</v>
      </c>
      <c r="L12" s="122">
        <f t="shared" si="6"/>
        <v>719739</v>
      </c>
      <c r="M12" s="123">
        <f t="shared" si="6"/>
        <v>588993</v>
      </c>
      <c r="N12" s="122">
        <f t="shared" si="6"/>
        <v>149539</v>
      </c>
      <c r="O12" s="123">
        <f t="shared" si="6"/>
        <v>109879</v>
      </c>
      <c r="P12" s="122">
        <f t="shared" si="6"/>
        <v>169047</v>
      </c>
      <c r="Q12" s="123">
        <f t="shared" si="6"/>
        <v>146420</v>
      </c>
      <c r="R12" s="122">
        <f t="shared" si="6"/>
        <v>0</v>
      </c>
      <c r="S12" s="123">
        <f t="shared" si="6"/>
        <v>376796</v>
      </c>
      <c r="T12" s="122">
        <f t="shared" si="6"/>
        <v>175802</v>
      </c>
      <c r="U12" s="123">
        <f t="shared" si="6"/>
        <v>143354</v>
      </c>
      <c r="V12" s="122">
        <f t="shared" si="6"/>
        <v>5592407</v>
      </c>
      <c r="W12" s="123">
        <f t="shared" si="6"/>
        <v>4596283</v>
      </c>
      <c r="X12" s="119">
        <f t="shared" ref="X12:AC12" si="7">X10</f>
        <v>3993278</v>
      </c>
      <c r="Y12" s="100">
        <f t="shared" si="7"/>
        <v>3745800</v>
      </c>
      <c r="Z12" s="766">
        <f t="shared" si="7"/>
        <v>228899</v>
      </c>
      <c r="AA12" s="766">
        <f t="shared" si="7"/>
        <v>220733</v>
      </c>
      <c r="AB12" s="95">
        <f t="shared" si="7"/>
        <v>607452</v>
      </c>
      <c r="AC12" s="355">
        <f t="shared" si="7"/>
        <v>518655</v>
      </c>
      <c r="AD12" s="98">
        <f t="shared" ref="AD12:AI12" si="8">AD10</f>
        <v>1532046</v>
      </c>
      <c r="AE12" s="768">
        <f t="shared" si="8"/>
        <v>1301511</v>
      </c>
      <c r="AF12" s="119">
        <f t="shared" si="8"/>
        <v>2534191</v>
      </c>
      <c r="AG12" s="100">
        <f t="shared" si="8"/>
        <v>2241417</v>
      </c>
      <c r="AH12" s="119">
        <f t="shared" si="8"/>
        <v>878521</v>
      </c>
      <c r="AI12" s="100">
        <f t="shared" si="8"/>
        <v>734826</v>
      </c>
      <c r="AJ12" s="98">
        <f t="shared" ref="AJ12:AO12" si="9">AJ10</f>
        <v>512211</v>
      </c>
      <c r="AK12" s="768">
        <f t="shared" si="9"/>
        <v>503658</v>
      </c>
      <c r="AL12" s="98">
        <f t="shared" si="9"/>
        <v>0</v>
      </c>
      <c r="AM12" s="100">
        <f t="shared" si="9"/>
        <v>0</v>
      </c>
      <c r="AN12" s="72">
        <f t="shared" si="9"/>
        <v>6731561</v>
      </c>
      <c r="AO12" s="73">
        <f t="shared" si="9"/>
        <v>5875964</v>
      </c>
      <c r="AP12" s="110">
        <f t="shared" ref="AP12:AU12" si="10">AP10</f>
        <v>254640</v>
      </c>
      <c r="AQ12" s="756">
        <f t="shared" si="10"/>
        <v>236960</v>
      </c>
      <c r="AR12" s="713">
        <f t="shared" si="10"/>
        <v>574636</v>
      </c>
      <c r="AS12" s="111">
        <f t="shared" si="10"/>
        <v>413680</v>
      </c>
      <c r="AT12" s="713">
        <f t="shared" si="10"/>
        <v>2050351</v>
      </c>
      <c r="AU12" s="111">
        <f t="shared" si="10"/>
        <v>1444502</v>
      </c>
      <c r="AV12" s="1247">
        <f>SUM(B12+D12+F12+H12+J12+L12+N12+P12+R12+T12+V12+X12+Z12+AB12+AD12+AF12+AH12+AJ12+AL12+AN12+AP12+AR12+AT12)</f>
        <v>30618227</v>
      </c>
      <c r="AW12" s="116">
        <f>SUM(C12+E12+G12+I12+K12+M12+O12+Q12+S12+U12+W12+Y12+AA12+AC12+AE12+AG12+AI12+AK12+AM12+AO12+AQ12+AS12+AU12)</f>
        <v>26454774</v>
      </c>
      <c r="AX12" s="713">
        <f>AX10</f>
        <v>47466813</v>
      </c>
      <c r="AY12" s="121">
        <f>AY10</f>
        <v>42802495</v>
      </c>
      <c r="AZ12" s="112">
        <f>AV12+AX12</f>
        <v>78085040</v>
      </c>
      <c r="BA12" s="116">
        <f>AW12+AY12</f>
        <v>69257269</v>
      </c>
    </row>
    <row r="13" spans="1:53" s="93" customFormat="1" ht="14.25" x14ac:dyDescent="0.3">
      <c r="A13" s="91" t="s">
        <v>29</v>
      </c>
      <c r="B13" s="728"/>
      <c r="C13" s="105"/>
      <c r="D13" s="99"/>
      <c r="E13" s="100"/>
      <c r="F13" s="119"/>
      <c r="G13" s="100"/>
      <c r="H13" s="99"/>
      <c r="I13" s="100"/>
      <c r="J13" s="99"/>
      <c r="K13" s="100"/>
      <c r="L13" s="119"/>
      <c r="M13" s="100"/>
      <c r="N13" s="99"/>
      <c r="O13" s="100"/>
      <c r="P13" s="99"/>
      <c r="Q13" s="100"/>
      <c r="R13" s="99"/>
      <c r="S13" s="100"/>
      <c r="T13" s="99"/>
      <c r="U13" s="100"/>
      <c r="V13" s="99"/>
      <c r="W13" s="100"/>
      <c r="X13" s="119"/>
      <c r="Y13" s="100"/>
      <c r="Z13" s="766"/>
      <c r="AA13" s="766"/>
      <c r="AB13" s="96"/>
      <c r="AC13" s="97"/>
      <c r="AD13" s="99"/>
      <c r="AE13" s="100"/>
      <c r="AF13" s="119"/>
      <c r="AG13" s="100"/>
      <c r="AH13" s="119"/>
      <c r="AI13" s="100"/>
      <c r="AJ13" s="99"/>
      <c r="AK13" s="100"/>
      <c r="AL13" s="95"/>
      <c r="AM13" s="97"/>
      <c r="AN13" s="356"/>
      <c r="AO13" s="92"/>
      <c r="AP13" s="110"/>
      <c r="AQ13" s="756"/>
      <c r="AR13" s="713"/>
      <c r="AS13" s="111"/>
      <c r="AT13" s="119"/>
      <c r="AU13" s="100"/>
      <c r="AV13" s="1247"/>
      <c r="AW13" s="116"/>
      <c r="AX13" s="713"/>
      <c r="AY13" s="121"/>
      <c r="AZ13" s="112"/>
      <c r="BA13" s="116"/>
    </row>
    <row r="14" spans="1:53" s="445" customFormat="1" thickBot="1" x14ac:dyDescent="0.35">
      <c r="A14" s="435" t="s">
        <v>26</v>
      </c>
      <c r="B14" s="761">
        <f t="shared" ref="B14:W14" si="11">B10</f>
        <v>1506969</v>
      </c>
      <c r="C14" s="436">
        <f t="shared" si="11"/>
        <v>1214023</v>
      </c>
      <c r="D14" s="437">
        <f t="shared" si="11"/>
        <v>36992</v>
      </c>
      <c r="E14" s="438">
        <f t="shared" si="11"/>
        <v>41646</v>
      </c>
      <c r="F14" s="437">
        <f t="shared" si="11"/>
        <v>131745</v>
      </c>
      <c r="G14" s="438">
        <f t="shared" si="11"/>
        <v>126814</v>
      </c>
      <c r="H14" s="437">
        <f t="shared" si="11"/>
        <v>1946143</v>
      </c>
      <c r="I14" s="438">
        <f t="shared" si="11"/>
        <v>1612705</v>
      </c>
      <c r="J14" s="437">
        <f t="shared" si="11"/>
        <v>292058</v>
      </c>
      <c r="K14" s="438">
        <f t="shared" si="11"/>
        <v>260155</v>
      </c>
      <c r="L14" s="437">
        <f t="shared" si="11"/>
        <v>719739</v>
      </c>
      <c r="M14" s="438">
        <f t="shared" si="11"/>
        <v>588993</v>
      </c>
      <c r="N14" s="437">
        <f t="shared" si="11"/>
        <v>149539</v>
      </c>
      <c r="O14" s="438">
        <f t="shared" si="11"/>
        <v>109879</v>
      </c>
      <c r="P14" s="437">
        <f t="shared" si="11"/>
        <v>169047</v>
      </c>
      <c r="Q14" s="438">
        <f t="shared" si="11"/>
        <v>146420</v>
      </c>
      <c r="R14" s="437">
        <f t="shared" si="11"/>
        <v>0</v>
      </c>
      <c r="S14" s="438">
        <f t="shared" si="11"/>
        <v>376796</v>
      </c>
      <c r="T14" s="437">
        <f t="shared" si="11"/>
        <v>175802</v>
      </c>
      <c r="U14" s="438">
        <f t="shared" si="11"/>
        <v>143354</v>
      </c>
      <c r="V14" s="437">
        <f t="shared" si="11"/>
        <v>5592407</v>
      </c>
      <c r="W14" s="438">
        <f t="shared" si="11"/>
        <v>4596283</v>
      </c>
      <c r="X14" s="762">
        <f t="shared" ref="X14:AC14" si="12">X10</f>
        <v>3993278</v>
      </c>
      <c r="Y14" s="575">
        <f t="shared" si="12"/>
        <v>3745800</v>
      </c>
      <c r="Z14" s="767">
        <f t="shared" si="12"/>
        <v>228899</v>
      </c>
      <c r="AA14" s="767">
        <f t="shared" si="12"/>
        <v>220733</v>
      </c>
      <c r="AB14" s="441">
        <f t="shared" si="12"/>
        <v>607452</v>
      </c>
      <c r="AC14" s="442">
        <f t="shared" si="12"/>
        <v>518655</v>
      </c>
      <c r="AD14" s="439">
        <f t="shared" ref="AD14:AI14" si="13">AD10</f>
        <v>1532046</v>
      </c>
      <c r="AE14" s="440">
        <f t="shared" si="13"/>
        <v>1301511</v>
      </c>
      <c r="AF14" s="762">
        <f t="shared" si="13"/>
        <v>2534191</v>
      </c>
      <c r="AG14" s="575">
        <f t="shared" si="13"/>
        <v>2241417</v>
      </c>
      <c r="AH14" s="762">
        <f t="shared" si="13"/>
        <v>878521</v>
      </c>
      <c r="AI14" s="575">
        <f t="shared" si="13"/>
        <v>734826</v>
      </c>
      <c r="AJ14" s="439">
        <f t="shared" ref="AJ14:AO14" si="14">AJ10</f>
        <v>512211</v>
      </c>
      <c r="AK14" s="440">
        <f t="shared" si="14"/>
        <v>503658</v>
      </c>
      <c r="AL14" s="439">
        <f t="shared" si="14"/>
        <v>0</v>
      </c>
      <c r="AM14" s="575">
        <f t="shared" si="14"/>
        <v>0</v>
      </c>
      <c r="AN14" s="683">
        <f t="shared" si="14"/>
        <v>6731561</v>
      </c>
      <c r="AO14" s="576">
        <f t="shared" si="14"/>
        <v>5875964</v>
      </c>
      <c r="AP14" s="443">
        <f t="shared" ref="AP14:AU14" si="15">AP10</f>
        <v>254640</v>
      </c>
      <c r="AQ14" s="772">
        <f t="shared" si="15"/>
        <v>236960</v>
      </c>
      <c r="AR14" s="770">
        <f t="shared" si="15"/>
        <v>574636</v>
      </c>
      <c r="AS14" s="444">
        <f t="shared" si="15"/>
        <v>413680</v>
      </c>
      <c r="AT14" s="770">
        <f t="shared" si="15"/>
        <v>2050351</v>
      </c>
      <c r="AU14" s="444">
        <f t="shared" si="15"/>
        <v>1444502</v>
      </c>
      <c r="AV14" s="1248">
        <f>SUM(B14+D14+F14+H14+J14+L14+N14+P14+R14+T14+V14+X14+Z14+AB14+AD14+AF14+AH14+AJ14+AL14+AN14+AP14+AR14+AT14)</f>
        <v>30618227</v>
      </c>
      <c r="AW14" s="575">
        <f>SUM(C14+E14+G14+I14+K14+M14+O14+Q14+S14+U14+W14+Y14+AA14+AC14+AE14+AG14+AI14+AK14+AM14+AO14+AQ14+AS14+AU14)</f>
        <v>26454774</v>
      </c>
      <c r="AX14" s="770">
        <f>AX10</f>
        <v>47466813</v>
      </c>
      <c r="AY14" s="1255">
        <f>AY10</f>
        <v>42802495</v>
      </c>
      <c r="AZ14" s="439">
        <f>AV14+AX14</f>
        <v>78085040</v>
      </c>
      <c r="BA14" s="575">
        <f>AW14+AY14</f>
        <v>69257269</v>
      </c>
    </row>
  </sheetData>
  <mergeCells count="29">
    <mergeCell ref="A1:AY1"/>
    <mergeCell ref="A2:AY2"/>
    <mergeCell ref="A3:A4"/>
    <mergeCell ref="AP3:AQ3"/>
    <mergeCell ref="AX3:AY3"/>
    <mergeCell ref="N3:O3"/>
    <mergeCell ref="P3:Q3"/>
    <mergeCell ref="R3:S3"/>
    <mergeCell ref="AH3:AI3"/>
    <mergeCell ref="AJ3:AK3"/>
    <mergeCell ref="T3:U3"/>
    <mergeCell ref="V3:W3"/>
    <mergeCell ref="X3:Y3"/>
    <mergeCell ref="AF3:AG3"/>
    <mergeCell ref="AD3:AE3"/>
    <mergeCell ref="AB3:AC3"/>
    <mergeCell ref="Z3:AA3"/>
    <mergeCell ref="AZ3:BA3"/>
    <mergeCell ref="AV3:AW3"/>
    <mergeCell ref="AR3:AS3"/>
    <mergeCell ref="AT3:AU3"/>
    <mergeCell ref="AL3:AM3"/>
    <mergeCell ref="AN3:AO3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BA27"/>
  <sheetViews>
    <sheetView workbookViewId="0">
      <pane xSplit="1" topLeftCell="AS1" activePane="topRight" state="frozen"/>
      <selection pane="topRight" activeCell="D9" sqref="D9"/>
    </sheetView>
  </sheetViews>
  <sheetFormatPr defaultRowHeight="12.75" x14ac:dyDescent="0.25"/>
  <cols>
    <col min="1" max="1" width="61.28515625" style="161" bestFit="1" customWidth="1"/>
    <col min="2" max="53" width="12.85546875" style="161" bestFit="1" customWidth="1"/>
    <col min="54" max="16384" width="9.140625" style="161"/>
  </cols>
  <sheetData>
    <row r="1" spans="1:53" s="194" customFormat="1" ht="14.25" x14ac:dyDescent="0.3">
      <c r="A1" s="693" t="s">
        <v>153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3"/>
      <c r="AI1" s="693"/>
      <c r="AJ1" s="693"/>
      <c r="AK1" s="693"/>
      <c r="AL1" s="693"/>
      <c r="AM1" s="693"/>
      <c r="AN1" s="693"/>
      <c r="AO1" s="693"/>
      <c r="AP1" s="693"/>
      <c r="AQ1" s="693"/>
      <c r="AR1" s="693"/>
      <c r="AS1" s="693"/>
      <c r="AT1" s="693"/>
      <c r="AU1" s="693"/>
      <c r="AV1" s="693"/>
      <c r="AW1" s="693"/>
      <c r="AX1" s="693"/>
      <c r="AY1" s="693"/>
    </row>
    <row r="2" spans="1:53" s="446" customFormat="1" ht="16.5" thickBot="1" x14ac:dyDescent="0.4">
      <c r="A2" s="694" t="s">
        <v>423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694"/>
      <c r="AH2" s="694"/>
      <c r="AI2" s="694"/>
      <c r="AJ2" s="694"/>
      <c r="AK2" s="694"/>
      <c r="AL2" s="694"/>
      <c r="AM2" s="694"/>
      <c r="AN2" s="694"/>
      <c r="AO2" s="694"/>
      <c r="AP2" s="694"/>
      <c r="AQ2" s="694"/>
      <c r="AR2" s="694"/>
      <c r="AS2" s="694"/>
      <c r="AT2" s="694"/>
      <c r="AU2" s="694"/>
      <c r="AV2" s="694"/>
      <c r="AW2" s="694"/>
      <c r="AX2" s="694"/>
      <c r="AY2" s="694"/>
    </row>
    <row r="3" spans="1:53" s="695" customFormat="1" ht="33" customHeight="1" thickBot="1" x14ac:dyDescent="0.3">
      <c r="A3" s="726" t="s">
        <v>0</v>
      </c>
      <c r="B3" s="1396" t="s">
        <v>158</v>
      </c>
      <c r="C3" s="1398"/>
      <c r="D3" s="1396" t="s">
        <v>159</v>
      </c>
      <c r="E3" s="1398"/>
      <c r="F3" s="1396" t="s">
        <v>160</v>
      </c>
      <c r="G3" s="1397"/>
      <c r="H3" s="1396" t="s">
        <v>161</v>
      </c>
      <c r="I3" s="1397"/>
      <c r="J3" s="1396" t="s">
        <v>162</v>
      </c>
      <c r="K3" s="1398"/>
      <c r="L3" s="1396" t="s">
        <v>163</v>
      </c>
      <c r="M3" s="1397"/>
      <c r="N3" s="1396" t="s">
        <v>312</v>
      </c>
      <c r="O3" s="1397"/>
      <c r="P3" s="1396" t="s">
        <v>164</v>
      </c>
      <c r="Q3" s="1397"/>
      <c r="R3" s="1396" t="s">
        <v>165</v>
      </c>
      <c r="S3" s="1397"/>
      <c r="T3" s="1396" t="s">
        <v>166</v>
      </c>
      <c r="U3" s="1397"/>
      <c r="V3" s="1396" t="s">
        <v>167</v>
      </c>
      <c r="W3" s="1397"/>
      <c r="X3" s="1396" t="s">
        <v>168</v>
      </c>
      <c r="Y3" s="1397"/>
      <c r="Z3" s="1396" t="s">
        <v>381</v>
      </c>
      <c r="AA3" s="1397"/>
      <c r="AB3" s="1396" t="s">
        <v>169</v>
      </c>
      <c r="AC3" s="1397"/>
      <c r="AD3" s="1399" t="s">
        <v>170</v>
      </c>
      <c r="AE3" s="1400"/>
      <c r="AF3" s="1396" t="s">
        <v>171</v>
      </c>
      <c r="AG3" s="1397"/>
      <c r="AH3" s="1396" t="s">
        <v>172</v>
      </c>
      <c r="AI3" s="1397"/>
      <c r="AJ3" s="1396" t="s">
        <v>173</v>
      </c>
      <c r="AK3" s="1397"/>
      <c r="AL3" s="1399" t="s">
        <v>174</v>
      </c>
      <c r="AM3" s="1400"/>
      <c r="AN3" s="1396" t="s">
        <v>175</v>
      </c>
      <c r="AO3" s="1397"/>
      <c r="AP3" s="1396" t="s">
        <v>176</v>
      </c>
      <c r="AQ3" s="1397"/>
      <c r="AR3" s="1403" t="s">
        <v>177</v>
      </c>
      <c r="AS3" s="1404"/>
      <c r="AT3" s="1403" t="s">
        <v>178</v>
      </c>
      <c r="AU3" s="1404"/>
      <c r="AV3" s="1403" t="s">
        <v>1</v>
      </c>
      <c r="AW3" s="1406"/>
      <c r="AX3" s="1405" t="s">
        <v>179</v>
      </c>
      <c r="AY3" s="1405"/>
      <c r="AZ3" s="1401" t="s">
        <v>2</v>
      </c>
      <c r="BA3" s="1402"/>
    </row>
    <row r="4" spans="1:53" s="446" customFormat="1" ht="14.25" customHeight="1" thickBot="1" x14ac:dyDescent="0.3">
      <c r="A4" s="727"/>
      <c r="B4" s="422" t="s">
        <v>437</v>
      </c>
      <c r="C4" s="423" t="s">
        <v>420</v>
      </c>
      <c r="D4" s="422" t="s">
        <v>437</v>
      </c>
      <c r="E4" s="423" t="s">
        <v>420</v>
      </c>
      <c r="F4" s="422" t="s">
        <v>437</v>
      </c>
      <c r="G4" s="423" t="s">
        <v>420</v>
      </c>
      <c r="H4" s="422" t="s">
        <v>437</v>
      </c>
      <c r="I4" s="423" t="s">
        <v>420</v>
      </c>
      <c r="J4" s="422" t="s">
        <v>437</v>
      </c>
      <c r="K4" s="423" t="s">
        <v>420</v>
      </c>
      <c r="L4" s="422" t="s">
        <v>437</v>
      </c>
      <c r="M4" s="423" t="s">
        <v>420</v>
      </c>
      <c r="N4" s="422" t="s">
        <v>437</v>
      </c>
      <c r="O4" s="423" t="s">
        <v>420</v>
      </c>
      <c r="P4" s="422" t="s">
        <v>437</v>
      </c>
      <c r="Q4" s="423" t="s">
        <v>420</v>
      </c>
      <c r="R4" s="422" t="s">
        <v>437</v>
      </c>
      <c r="S4" s="423" t="s">
        <v>420</v>
      </c>
      <c r="T4" s="422" t="s">
        <v>437</v>
      </c>
      <c r="U4" s="423" t="s">
        <v>420</v>
      </c>
      <c r="V4" s="422" t="s">
        <v>437</v>
      </c>
      <c r="W4" s="423" t="s">
        <v>420</v>
      </c>
      <c r="X4" s="422" t="s">
        <v>437</v>
      </c>
      <c r="Y4" s="423" t="s">
        <v>420</v>
      </c>
      <c r="Z4" s="422" t="s">
        <v>437</v>
      </c>
      <c r="AA4" s="423" t="s">
        <v>420</v>
      </c>
      <c r="AB4" s="422" t="s">
        <v>437</v>
      </c>
      <c r="AC4" s="423" t="s">
        <v>420</v>
      </c>
      <c r="AD4" s="422" t="s">
        <v>437</v>
      </c>
      <c r="AE4" s="423" t="s">
        <v>420</v>
      </c>
      <c r="AF4" s="422" t="s">
        <v>437</v>
      </c>
      <c r="AG4" s="423" t="s">
        <v>420</v>
      </c>
      <c r="AH4" s="422" t="s">
        <v>437</v>
      </c>
      <c r="AI4" s="423" t="s">
        <v>420</v>
      </c>
      <c r="AJ4" s="422" t="s">
        <v>437</v>
      </c>
      <c r="AK4" s="423" t="s">
        <v>420</v>
      </c>
      <c r="AL4" s="422" t="s">
        <v>437</v>
      </c>
      <c r="AM4" s="423" t="s">
        <v>420</v>
      </c>
      <c r="AN4" s="422" t="s">
        <v>437</v>
      </c>
      <c r="AO4" s="423" t="s">
        <v>420</v>
      </c>
      <c r="AP4" s="422" t="s">
        <v>437</v>
      </c>
      <c r="AQ4" s="423" t="s">
        <v>420</v>
      </c>
      <c r="AR4" s="422" t="s">
        <v>437</v>
      </c>
      <c r="AS4" s="423" t="s">
        <v>420</v>
      </c>
      <c r="AT4" s="422" t="s">
        <v>437</v>
      </c>
      <c r="AU4" s="423" t="s">
        <v>420</v>
      </c>
      <c r="AV4" s="422" t="s">
        <v>437</v>
      </c>
      <c r="AW4" s="423" t="s">
        <v>420</v>
      </c>
      <c r="AX4" s="422" t="s">
        <v>437</v>
      </c>
      <c r="AY4" s="423" t="s">
        <v>420</v>
      </c>
      <c r="AZ4" s="422" t="s">
        <v>437</v>
      </c>
      <c r="BA4" s="423" t="s">
        <v>420</v>
      </c>
    </row>
    <row r="5" spans="1:53" s="147" customFormat="1" ht="14.25" x14ac:dyDescent="0.25">
      <c r="A5" s="352" t="s">
        <v>59</v>
      </c>
      <c r="B5" s="157"/>
      <c r="C5" s="154"/>
      <c r="D5" s="157"/>
      <c r="E5" s="154"/>
      <c r="F5" s="157"/>
      <c r="G5" s="158"/>
      <c r="H5" s="157"/>
      <c r="I5" s="158"/>
      <c r="J5" s="157"/>
      <c r="K5" s="154"/>
      <c r="L5" s="157"/>
      <c r="M5" s="158"/>
      <c r="N5" s="157"/>
      <c r="O5" s="158"/>
      <c r="P5" s="157"/>
      <c r="Q5" s="158"/>
      <c r="R5" s="157"/>
      <c r="S5" s="158"/>
      <c r="T5" s="157"/>
      <c r="U5" s="158"/>
      <c r="V5" s="157"/>
      <c r="W5" s="158"/>
      <c r="X5" s="157"/>
      <c r="Y5" s="158"/>
      <c r="Z5" s="157"/>
      <c r="AA5" s="158"/>
      <c r="AB5" s="157"/>
      <c r="AC5" s="158"/>
      <c r="AD5" s="157"/>
      <c r="AE5" s="158"/>
      <c r="AF5" s="157"/>
      <c r="AG5" s="158"/>
      <c r="AH5" s="157"/>
      <c r="AI5" s="158"/>
      <c r="AJ5" s="157"/>
      <c r="AK5" s="158"/>
      <c r="AL5" s="157"/>
      <c r="AM5" s="158"/>
      <c r="AN5" s="157"/>
      <c r="AO5" s="158"/>
      <c r="AP5" s="157"/>
      <c r="AQ5" s="158"/>
      <c r="AR5" s="157"/>
      <c r="AS5" s="158"/>
      <c r="AT5" s="157"/>
      <c r="AU5" s="158"/>
      <c r="AV5" s="157"/>
      <c r="AW5" s="154"/>
      <c r="AX5" s="155"/>
      <c r="AY5" s="158"/>
      <c r="AZ5" s="159"/>
      <c r="BA5" s="160"/>
    </row>
    <row r="6" spans="1:53" s="147" customFormat="1" ht="14.25" x14ac:dyDescent="0.3">
      <c r="A6" s="162" t="s">
        <v>60</v>
      </c>
      <c r="B6" s="728">
        <v>55819</v>
      </c>
      <c r="C6" s="105">
        <v>35652</v>
      </c>
      <c r="D6" s="98">
        <v>22</v>
      </c>
      <c r="E6" s="100">
        <v>149</v>
      </c>
      <c r="F6" s="98">
        <v>2588</v>
      </c>
      <c r="G6" s="106">
        <v>2284</v>
      </c>
      <c r="H6" s="98">
        <v>89378</v>
      </c>
      <c r="I6" s="106">
        <v>58198</v>
      </c>
      <c r="J6" s="98">
        <v>12567</v>
      </c>
      <c r="K6" s="100">
        <v>10998</v>
      </c>
      <c r="L6" s="98">
        <v>27878</v>
      </c>
      <c r="M6" s="106">
        <v>24420</v>
      </c>
      <c r="N6" s="98">
        <v>2474</v>
      </c>
      <c r="O6" s="106">
        <v>1412</v>
      </c>
      <c r="P6" s="98">
        <v>10238</v>
      </c>
      <c r="Q6" s="106">
        <v>7594</v>
      </c>
      <c r="R6" s="98"/>
      <c r="S6" s="106">
        <v>10278</v>
      </c>
      <c r="T6" s="98">
        <v>4591</v>
      </c>
      <c r="U6" s="106">
        <v>3052</v>
      </c>
      <c r="V6" s="98">
        <v>196944</v>
      </c>
      <c r="W6" s="106">
        <v>136813</v>
      </c>
      <c r="X6" s="98">
        <v>116649</v>
      </c>
      <c r="Y6" s="106">
        <v>103464</v>
      </c>
      <c r="Z6" s="723">
        <v>7688</v>
      </c>
      <c r="AA6" s="447">
        <v>5297</v>
      </c>
      <c r="AB6" s="98">
        <v>21647</v>
      </c>
      <c r="AC6" s="106">
        <v>18726</v>
      </c>
      <c r="AD6" s="98">
        <v>45079</v>
      </c>
      <c r="AE6" s="106">
        <v>29662</v>
      </c>
      <c r="AF6" s="98">
        <v>110019</v>
      </c>
      <c r="AG6" s="106">
        <v>95875</v>
      </c>
      <c r="AH6" s="98">
        <v>32900</v>
      </c>
      <c r="AI6" s="106">
        <v>25178</v>
      </c>
      <c r="AJ6" s="98">
        <v>8372</v>
      </c>
      <c r="AK6" s="106">
        <v>7629</v>
      </c>
      <c r="AL6" s="98"/>
      <c r="AM6" s="106"/>
      <c r="AN6" s="719">
        <v>180616</v>
      </c>
      <c r="AO6" s="162">
        <v>107967</v>
      </c>
      <c r="AP6" s="717">
        <v>9429</v>
      </c>
      <c r="AQ6" s="120">
        <v>8130</v>
      </c>
      <c r="AR6" s="715">
        <v>20929</v>
      </c>
      <c r="AS6" s="121">
        <v>14511</v>
      </c>
      <c r="AT6" s="98">
        <v>154444</v>
      </c>
      <c r="AU6" s="106">
        <v>100696</v>
      </c>
      <c r="AV6" s="112">
        <f t="shared" ref="AV6:AW14" si="0">SUM(B6+D6+F6+H6+J6+L6+N6+P6+R6+T6+V6+X6+Z6+AB6+AD6+AF6+AH6+AJ6+AL6+AN6+AP6+AR6+AT6)</f>
        <v>1110271</v>
      </c>
      <c r="AW6" s="123">
        <f t="shared" si="0"/>
        <v>807985</v>
      </c>
      <c r="AX6" s="713">
        <v>1079181</v>
      </c>
      <c r="AY6" s="121">
        <v>973096</v>
      </c>
      <c r="AZ6" s="112">
        <f t="shared" ref="AZ6:BA12" si="1">AV6+AX6</f>
        <v>2189452</v>
      </c>
      <c r="BA6" s="113">
        <f t="shared" si="1"/>
        <v>1781081</v>
      </c>
    </row>
    <row r="7" spans="1:53" s="147" customFormat="1" ht="14.25" x14ac:dyDescent="0.3">
      <c r="A7" s="162" t="s">
        <v>61</v>
      </c>
      <c r="B7" s="728">
        <v>21094</v>
      </c>
      <c r="C7" s="105">
        <v>19667</v>
      </c>
      <c r="D7" s="98">
        <v>100</v>
      </c>
      <c r="E7" s="100">
        <v>143</v>
      </c>
      <c r="F7" s="98">
        <v>759</v>
      </c>
      <c r="G7" s="106">
        <v>819</v>
      </c>
      <c r="H7" s="98">
        <v>15890</v>
      </c>
      <c r="I7" s="106">
        <v>12444</v>
      </c>
      <c r="J7" s="98">
        <v>4638</v>
      </c>
      <c r="K7" s="100">
        <v>5007</v>
      </c>
      <c r="L7" s="98">
        <v>11284</v>
      </c>
      <c r="M7" s="106">
        <v>9534</v>
      </c>
      <c r="N7" s="98">
        <v>1070</v>
      </c>
      <c r="O7" s="106">
        <v>1088</v>
      </c>
      <c r="P7" s="98">
        <v>2467</v>
      </c>
      <c r="Q7" s="106">
        <v>2294</v>
      </c>
      <c r="R7" s="98"/>
      <c r="S7" s="106">
        <v>6022</v>
      </c>
      <c r="T7" s="98">
        <v>1476</v>
      </c>
      <c r="U7" s="106">
        <v>1386</v>
      </c>
      <c r="V7" s="98">
        <v>41501</v>
      </c>
      <c r="W7" s="106">
        <v>33009</v>
      </c>
      <c r="X7" s="98">
        <v>42772</v>
      </c>
      <c r="Y7" s="106">
        <v>41191</v>
      </c>
      <c r="Z7" s="723">
        <v>1515</v>
      </c>
      <c r="AA7" s="447">
        <v>1651</v>
      </c>
      <c r="AB7" s="98">
        <v>6712</v>
      </c>
      <c r="AC7" s="106">
        <v>4893</v>
      </c>
      <c r="AD7" s="98">
        <v>22611</v>
      </c>
      <c r="AE7" s="106">
        <v>20961</v>
      </c>
      <c r="AF7" s="98">
        <v>40859</v>
      </c>
      <c r="AG7" s="106">
        <v>36327</v>
      </c>
      <c r="AH7" s="98">
        <v>14378</v>
      </c>
      <c r="AI7" s="106">
        <v>12745</v>
      </c>
      <c r="AJ7" s="98">
        <v>6791</v>
      </c>
      <c r="AK7" s="106">
        <v>6922</v>
      </c>
      <c r="AL7" s="98"/>
      <c r="AM7" s="106"/>
      <c r="AN7" s="719">
        <v>92538</v>
      </c>
      <c r="AO7" s="162">
        <v>85551</v>
      </c>
      <c r="AP7" s="717">
        <v>3718</v>
      </c>
      <c r="AQ7" s="120">
        <v>3661</v>
      </c>
      <c r="AR7" s="715">
        <v>7002</v>
      </c>
      <c r="AS7" s="121">
        <v>7805</v>
      </c>
      <c r="AT7" s="98">
        <v>28295</v>
      </c>
      <c r="AU7" s="106">
        <v>22199</v>
      </c>
      <c r="AV7" s="112">
        <f t="shared" si="0"/>
        <v>367470</v>
      </c>
      <c r="AW7" s="123">
        <f t="shared" si="0"/>
        <v>335319</v>
      </c>
      <c r="AX7" s="713">
        <v>1250700</v>
      </c>
      <c r="AY7" s="121">
        <v>1185064</v>
      </c>
      <c r="AZ7" s="112">
        <f t="shared" si="1"/>
        <v>1618170</v>
      </c>
      <c r="BA7" s="113">
        <f t="shared" si="1"/>
        <v>1520383</v>
      </c>
    </row>
    <row r="8" spans="1:53" s="147" customFormat="1" ht="14.25" x14ac:dyDescent="0.3">
      <c r="A8" s="162" t="s">
        <v>62</v>
      </c>
      <c r="B8" s="728">
        <v>2946</v>
      </c>
      <c r="C8" s="105">
        <v>1625</v>
      </c>
      <c r="D8" s="98">
        <v>36</v>
      </c>
      <c r="E8" s="100">
        <v>1</v>
      </c>
      <c r="F8" s="98">
        <v>94</v>
      </c>
      <c r="G8" s="106">
        <v>23</v>
      </c>
      <c r="H8" s="98">
        <v>7920</v>
      </c>
      <c r="I8" s="106">
        <v>8300</v>
      </c>
      <c r="J8" s="98">
        <v>277</v>
      </c>
      <c r="K8" s="100">
        <v>201</v>
      </c>
      <c r="L8" s="98">
        <v>1824</v>
      </c>
      <c r="M8" s="106">
        <v>1966</v>
      </c>
      <c r="N8" s="98">
        <v>2360</v>
      </c>
      <c r="O8" s="106">
        <v>722</v>
      </c>
      <c r="P8" s="98">
        <v>81</v>
      </c>
      <c r="Q8" s="106">
        <v>94</v>
      </c>
      <c r="R8" s="98"/>
      <c r="S8" s="106">
        <v>138</v>
      </c>
      <c r="T8" s="98">
        <v>78</v>
      </c>
      <c r="U8" s="106">
        <v>88</v>
      </c>
      <c r="V8" s="98">
        <v>27650</v>
      </c>
      <c r="W8" s="106">
        <v>20619</v>
      </c>
      <c r="X8" s="98">
        <v>15752</v>
      </c>
      <c r="Y8" s="106">
        <v>14481</v>
      </c>
      <c r="Z8" s="723">
        <v>1518</v>
      </c>
      <c r="AA8" s="447">
        <v>1162</v>
      </c>
      <c r="AB8" s="98">
        <v>2684</v>
      </c>
      <c r="AC8" s="106">
        <v>1751</v>
      </c>
      <c r="AD8" s="98">
        <v>12482</v>
      </c>
      <c r="AE8" s="106">
        <v>7164</v>
      </c>
      <c r="AF8" s="98">
        <v>4986</v>
      </c>
      <c r="AG8" s="106">
        <v>4568</v>
      </c>
      <c r="AH8" s="98">
        <v>2563</v>
      </c>
      <c r="AI8" s="106">
        <v>1961</v>
      </c>
      <c r="AJ8" s="98">
        <v>20</v>
      </c>
      <c r="AK8" s="106">
        <v>31</v>
      </c>
      <c r="AL8" s="98"/>
      <c r="AM8" s="106"/>
      <c r="AN8" s="719">
        <v>20442</v>
      </c>
      <c r="AO8" s="162">
        <v>14887</v>
      </c>
      <c r="AP8" s="717">
        <v>1211</v>
      </c>
      <c r="AQ8" s="120">
        <v>621</v>
      </c>
      <c r="AR8" s="715">
        <v>1945</v>
      </c>
      <c r="AS8" s="121">
        <v>1464</v>
      </c>
      <c r="AT8" s="98">
        <v>1696</v>
      </c>
      <c r="AU8" s="106">
        <v>1109</v>
      </c>
      <c r="AV8" s="112">
        <f t="shared" si="0"/>
        <v>108565</v>
      </c>
      <c r="AW8" s="123">
        <f t="shared" si="0"/>
        <v>82976</v>
      </c>
      <c r="AX8" s="713">
        <v>51477</v>
      </c>
      <c r="AY8" s="121">
        <v>49027</v>
      </c>
      <c r="AZ8" s="112">
        <f t="shared" si="1"/>
        <v>160042</v>
      </c>
      <c r="BA8" s="113">
        <f t="shared" si="1"/>
        <v>132003</v>
      </c>
    </row>
    <row r="9" spans="1:53" s="689" customFormat="1" ht="14.25" x14ac:dyDescent="0.3">
      <c r="A9" s="684" t="s">
        <v>54</v>
      </c>
      <c r="B9" s="675">
        <f>SUM(B6:B8)</f>
        <v>79859</v>
      </c>
      <c r="C9" s="690">
        <f>SUM(C6:C8)</f>
        <v>56944</v>
      </c>
      <c r="D9" s="679">
        <f>SUM(D6:D8)</f>
        <v>158</v>
      </c>
      <c r="E9" s="686">
        <f>SUM(E6:E8)</f>
        <v>293</v>
      </c>
      <c r="F9" s="679">
        <f t="shared" ref="F9:M9" si="2">SUM(F6:F8)</f>
        <v>3441</v>
      </c>
      <c r="G9" s="687">
        <f t="shared" si="2"/>
        <v>3126</v>
      </c>
      <c r="H9" s="679">
        <f t="shared" si="2"/>
        <v>113188</v>
      </c>
      <c r="I9" s="687">
        <f t="shared" si="2"/>
        <v>78942</v>
      </c>
      <c r="J9" s="679">
        <f t="shared" si="2"/>
        <v>17482</v>
      </c>
      <c r="K9" s="686">
        <f t="shared" si="2"/>
        <v>16206</v>
      </c>
      <c r="L9" s="679">
        <f t="shared" si="2"/>
        <v>40986</v>
      </c>
      <c r="M9" s="687">
        <f t="shared" si="2"/>
        <v>35920</v>
      </c>
      <c r="N9" s="679">
        <f t="shared" ref="N9:W9" si="3">SUM(N6:N8)</f>
        <v>5904</v>
      </c>
      <c r="O9" s="687">
        <f t="shared" si="3"/>
        <v>3222</v>
      </c>
      <c r="P9" s="679">
        <f t="shared" si="3"/>
        <v>12786</v>
      </c>
      <c r="Q9" s="687">
        <f t="shared" si="3"/>
        <v>9982</v>
      </c>
      <c r="R9" s="679">
        <f t="shared" si="3"/>
        <v>0</v>
      </c>
      <c r="S9" s="687">
        <f t="shared" si="3"/>
        <v>16438</v>
      </c>
      <c r="T9" s="679">
        <f t="shared" si="3"/>
        <v>6145</v>
      </c>
      <c r="U9" s="687">
        <f t="shared" si="3"/>
        <v>4526</v>
      </c>
      <c r="V9" s="679">
        <f t="shared" si="3"/>
        <v>266095</v>
      </c>
      <c r="W9" s="687">
        <f t="shared" si="3"/>
        <v>190441</v>
      </c>
      <c r="X9" s="679">
        <f t="shared" ref="X9:AP9" si="4">SUM(X6:X8)</f>
        <v>175173</v>
      </c>
      <c r="Y9" s="687">
        <f t="shared" si="4"/>
        <v>159136</v>
      </c>
      <c r="Z9" s="679">
        <f t="shared" si="4"/>
        <v>10721</v>
      </c>
      <c r="AA9" s="687">
        <f t="shared" si="4"/>
        <v>8110</v>
      </c>
      <c r="AB9" s="679">
        <f t="shared" si="4"/>
        <v>31043</v>
      </c>
      <c r="AC9" s="687">
        <f t="shared" si="4"/>
        <v>25370</v>
      </c>
      <c r="AD9" s="679">
        <f t="shared" si="4"/>
        <v>80172</v>
      </c>
      <c r="AE9" s="687">
        <f t="shared" si="4"/>
        <v>57787</v>
      </c>
      <c r="AF9" s="679">
        <f t="shared" si="4"/>
        <v>155864</v>
      </c>
      <c r="AG9" s="687">
        <f t="shared" si="4"/>
        <v>136770</v>
      </c>
      <c r="AH9" s="679">
        <f t="shared" si="4"/>
        <v>49841</v>
      </c>
      <c r="AI9" s="687">
        <f t="shared" si="4"/>
        <v>39884</v>
      </c>
      <c r="AJ9" s="679">
        <f t="shared" si="4"/>
        <v>15183</v>
      </c>
      <c r="AK9" s="687">
        <f t="shared" si="4"/>
        <v>14582</v>
      </c>
      <c r="AL9" s="679">
        <f t="shared" si="4"/>
        <v>0</v>
      </c>
      <c r="AM9" s="687">
        <f t="shared" si="4"/>
        <v>0</v>
      </c>
      <c r="AN9" s="679">
        <f t="shared" si="4"/>
        <v>293596</v>
      </c>
      <c r="AO9" s="687">
        <f t="shared" si="4"/>
        <v>208405</v>
      </c>
      <c r="AP9" s="679">
        <f t="shared" si="4"/>
        <v>14358</v>
      </c>
      <c r="AQ9" s="684">
        <f>SUM(AQ6:AQ8)</f>
        <v>12412</v>
      </c>
      <c r="AR9" s="679">
        <f>SUM(AR6:AR8)</f>
        <v>29876</v>
      </c>
      <c r="AS9" s="684">
        <f>SUM(AS6:AS8)</f>
        <v>23780</v>
      </c>
      <c r="AT9" s="679">
        <f>SUM(AT6:AT8)</f>
        <v>184435</v>
      </c>
      <c r="AU9" s="684">
        <f>SUM(AU6:AU8)</f>
        <v>124004</v>
      </c>
      <c r="AV9" s="679">
        <f t="shared" si="0"/>
        <v>1586306</v>
      </c>
      <c r="AW9" s="686">
        <f t="shared" si="0"/>
        <v>1226280</v>
      </c>
      <c r="AX9" s="691">
        <f>SUM(AX6:AX8)</f>
        <v>2381358</v>
      </c>
      <c r="AY9" s="688">
        <f>SUM(AY6:AY8)</f>
        <v>2207187</v>
      </c>
      <c r="AZ9" s="679">
        <f t="shared" si="1"/>
        <v>3967664</v>
      </c>
      <c r="BA9" s="680">
        <f t="shared" si="1"/>
        <v>3433467</v>
      </c>
    </row>
    <row r="10" spans="1:53" s="147" customFormat="1" ht="14.25" x14ac:dyDescent="0.3">
      <c r="A10" s="162" t="s">
        <v>63</v>
      </c>
      <c r="B10" s="729"/>
      <c r="C10" s="731"/>
      <c r="D10" s="112"/>
      <c r="E10" s="116"/>
      <c r="F10" s="112"/>
      <c r="G10" s="117"/>
      <c r="H10" s="112"/>
      <c r="I10" s="117"/>
      <c r="J10" s="112"/>
      <c r="K10" s="116"/>
      <c r="L10" s="112"/>
      <c r="M10" s="117"/>
      <c r="N10" s="112"/>
      <c r="O10" s="117"/>
      <c r="P10" s="112"/>
      <c r="Q10" s="117"/>
      <c r="R10" s="112"/>
      <c r="S10" s="117"/>
      <c r="T10" s="112"/>
      <c r="U10" s="117"/>
      <c r="V10" s="112"/>
      <c r="W10" s="117"/>
      <c r="X10" s="112"/>
      <c r="Y10" s="117"/>
      <c r="Z10" s="723"/>
      <c r="AA10" s="447"/>
      <c r="AB10" s="112"/>
      <c r="AC10" s="117"/>
      <c r="AD10" s="722"/>
      <c r="AE10" s="448"/>
      <c r="AF10" s="112"/>
      <c r="AG10" s="117"/>
      <c r="AH10" s="112"/>
      <c r="AI10" s="117"/>
      <c r="AJ10" s="112"/>
      <c r="AK10" s="117"/>
      <c r="AL10" s="98"/>
      <c r="AM10" s="106"/>
      <c r="AN10" s="98"/>
      <c r="AO10" s="106"/>
      <c r="AP10" s="717"/>
      <c r="AQ10" s="120"/>
      <c r="AR10" s="715"/>
      <c r="AS10" s="121"/>
      <c r="AT10" s="112"/>
      <c r="AU10" s="117"/>
      <c r="AV10" s="112">
        <f t="shared" si="0"/>
        <v>0</v>
      </c>
      <c r="AW10" s="123">
        <f t="shared" si="0"/>
        <v>0</v>
      </c>
      <c r="AX10" s="122"/>
      <c r="AY10" s="117"/>
      <c r="AZ10" s="112">
        <f t="shared" si="1"/>
        <v>0</v>
      </c>
      <c r="BA10" s="113">
        <f t="shared" si="1"/>
        <v>0</v>
      </c>
    </row>
    <row r="11" spans="1:53" s="147" customFormat="1" ht="14.25" x14ac:dyDescent="0.3">
      <c r="A11" s="162" t="s">
        <v>64</v>
      </c>
      <c r="B11" s="728"/>
      <c r="C11" s="105"/>
      <c r="D11" s="98"/>
      <c r="E11" s="100"/>
      <c r="F11" s="98"/>
      <c r="G11" s="106"/>
      <c r="H11" s="98"/>
      <c r="I11" s="106">
        <v>-4</v>
      </c>
      <c r="J11" s="98"/>
      <c r="K11" s="100"/>
      <c r="L11" s="98"/>
      <c r="M11" s="106"/>
      <c r="N11" s="98"/>
      <c r="O11" s="106"/>
      <c r="P11" s="98"/>
      <c r="Q11" s="106"/>
      <c r="R11" s="98"/>
      <c r="S11" s="106"/>
      <c r="T11" s="98"/>
      <c r="U11" s="106"/>
      <c r="V11" s="98"/>
      <c r="W11" s="106"/>
      <c r="X11" s="98"/>
      <c r="Y11" s="106"/>
      <c r="Z11" s="98"/>
      <c r="AA11" s="106"/>
      <c r="AB11" s="98"/>
      <c r="AC11" s="106"/>
      <c r="AD11" s="98"/>
      <c r="AE11" s="106"/>
      <c r="AF11" s="98"/>
      <c r="AG11" s="106"/>
      <c r="AH11" s="98"/>
      <c r="AI11" s="106"/>
      <c r="AJ11" s="98"/>
      <c r="AK11" s="106"/>
      <c r="AL11" s="98"/>
      <c r="AM11" s="106"/>
      <c r="AN11" s="98"/>
      <c r="AO11" s="106"/>
      <c r="AP11" s="717"/>
      <c r="AQ11" s="120"/>
      <c r="AR11" s="715"/>
      <c r="AS11" s="121"/>
      <c r="AT11" s="98">
        <v>258</v>
      </c>
      <c r="AU11" s="106">
        <v>-27</v>
      </c>
      <c r="AV11" s="112">
        <f t="shared" si="0"/>
        <v>258</v>
      </c>
      <c r="AW11" s="123">
        <f t="shared" si="0"/>
        <v>-31</v>
      </c>
      <c r="AX11" s="713"/>
      <c r="AY11" s="121"/>
      <c r="AZ11" s="112">
        <f t="shared" si="1"/>
        <v>258</v>
      </c>
      <c r="BA11" s="113">
        <f t="shared" si="1"/>
        <v>-31</v>
      </c>
    </row>
    <row r="12" spans="1:53" s="689" customFormat="1" ht="14.25" x14ac:dyDescent="0.3">
      <c r="A12" s="684" t="s">
        <v>309</v>
      </c>
      <c r="B12" s="675">
        <f t="shared" ref="B12:AE12" si="5">B9</f>
        <v>79859</v>
      </c>
      <c r="C12" s="690">
        <f t="shared" si="5"/>
        <v>56944</v>
      </c>
      <c r="D12" s="675">
        <f t="shared" si="5"/>
        <v>158</v>
      </c>
      <c r="E12" s="690">
        <f t="shared" si="5"/>
        <v>293</v>
      </c>
      <c r="F12" s="675">
        <f t="shared" si="5"/>
        <v>3441</v>
      </c>
      <c r="G12" s="685">
        <f t="shared" si="5"/>
        <v>3126</v>
      </c>
      <c r="H12" s="675">
        <f>H9+H11</f>
        <v>113188</v>
      </c>
      <c r="I12" s="685">
        <f>I9+I11</f>
        <v>78938</v>
      </c>
      <c r="J12" s="675">
        <f t="shared" si="5"/>
        <v>17482</v>
      </c>
      <c r="K12" s="690">
        <f t="shared" si="5"/>
        <v>16206</v>
      </c>
      <c r="L12" s="675">
        <f t="shared" si="5"/>
        <v>40986</v>
      </c>
      <c r="M12" s="685">
        <f t="shared" si="5"/>
        <v>35920</v>
      </c>
      <c r="N12" s="675">
        <f t="shared" si="5"/>
        <v>5904</v>
      </c>
      <c r="O12" s="685">
        <f t="shared" si="5"/>
        <v>3222</v>
      </c>
      <c r="P12" s="675">
        <f t="shared" si="5"/>
        <v>12786</v>
      </c>
      <c r="Q12" s="685">
        <f t="shared" si="5"/>
        <v>9982</v>
      </c>
      <c r="R12" s="675">
        <f t="shared" si="5"/>
        <v>0</v>
      </c>
      <c r="S12" s="685">
        <f t="shared" si="5"/>
        <v>16438</v>
      </c>
      <c r="T12" s="675">
        <f t="shared" si="5"/>
        <v>6145</v>
      </c>
      <c r="U12" s="685">
        <f t="shared" si="5"/>
        <v>4526</v>
      </c>
      <c r="V12" s="675">
        <f t="shared" si="5"/>
        <v>266095</v>
      </c>
      <c r="W12" s="685">
        <f t="shared" si="5"/>
        <v>190441</v>
      </c>
      <c r="X12" s="675">
        <f t="shared" si="5"/>
        <v>175173</v>
      </c>
      <c r="Y12" s="685">
        <f t="shared" si="5"/>
        <v>159136</v>
      </c>
      <c r="Z12" s="675">
        <f t="shared" si="5"/>
        <v>10721</v>
      </c>
      <c r="AA12" s="685">
        <f t="shared" si="5"/>
        <v>8110</v>
      </c>
      <c r="AB12" s="675">
        <f t="shared" si="5"/>
        <v>31043</v>
      </c>
      <c r="AC12" s="685">
        <f t="shared" si="5"/>
        <v>25370</v>
      </c>
      <c r="AD12" s="675">
        <f t="shared" si="5"/>
        <v>80172</v>
      </c>
      <c r="AE12" s="685">
        <f t="shared" si="5"/>
        <v>57787</v>
      </c>
      <c r="AF12" s="679">
        <f>SUM(AF9:AF11)</f>
        <v>155864</v>
      </c>
      <c r="AG12" s="687">
        <f>AG9</f>
        <v>136770</v>
      </c>
      <c r="AH12" s="679">
        <f>AH9</f>
        <v>49841</v>
      </c>
      <c r="AI12" s="721">
        <f>AI9</f>
        <v>39884</v>
      </c>
      <c r="AJ12" s="679">
        <f>AJ9</f>
        <v>15183</v>
      </c>
      <c r="AK12" s="687">
        <f>AK9</f>
        <v>14582</v>
      </c>
      <c r="AL12" s="679"/>
      <c r="AM12" s="687"/>
      <c r="AN12" s="679">
        <f t="shared" ref="AN12:AS12" si="6">AN9</f>
        <v>293596</v>
      </c>
      <c r="AO12" s="684">
        <f t="shared" si="6"/>
        <v>208405</v>
      </c>
      <c r="AP12" s="679">
        <f t="shared" si="6"/>
        <v>14358</v>
      </c>
      <c r="AQ12" s="684">
        <f t="shared" si="6"/>
        <v>12412</v>
      </c>
      <c r="AR12" s="679">
        <f t="shared" si="6"/>
        <v>29876</v>
      </c>
      <c r="AS12" s="684">
        <f t="shared" si="6"/>
        <v>23780</v>
      </c>
      <c r="AT12" s="679">
        <f>AT9-AT11</f>
        <v>184177</v>
      </c>
      <c r="AU12" s="684">
        <f>AU9+AU11</f>
        <v>123977</v>
      </c>
      <c r="AV12" s="679">
        <f t="shared" si="0"/>
        <v>1586048</v>
      </c>
      <c r="AW12" s="686">
        <f t="shared" si="0"/>
        <v>1226249</v>
      </c>
      <c r="AX12" s="691">
        <f>SUM(AX9:AX11)</f>
        <v>2381358</v>
      </c>
      <c r="AY12" s="692">
        <f>SUM(AY9:AY11)</f>
        <v>2207187</v>
      </c>
      <c r="AZ12" s="679">
        <f t="shared" si="1"/>
        <v>3967406</v>
      </c>
      <c r="BA12" s="680">
        <f t="shared" si="1"/>
        <v>3433436</v>
      </c>
    </row>
    <row r="13" spans="1:53" s="689" customFormat="1" ht="14.25" x14ac:dyDescent="0.3">
      <c r="A13" s="684" t="s">
        <v>310</v>
      </c>
      <c r="B13" s="675">
        <v>4501</v>
      </c>
      <c r="C13" s="673">
        <v>2680</v>
      </c>
      <c r="D13" s="675"/>
      <c r="E13" s="673"/>
      <c r="F13" s="675">
        <v>80</v>
      </c>
      <c r="G13" s="674">
        <v>119</v>
      </c>
      <c r="H13" s="675">
        <v>7479</v>
      </c>
      <c r="I13" s="674">
        <v>4459</v>
      </c>
      <c r="J13" s="675">
        <v>1346</v>
      </c>
      <c r="K13" s="673">
        <v>602</v>
      </c>
      <c r="L13" s="675">
        <v>369</v>
      </c>
      <c r="M13" s="674"/>
      <c r="N13" s="675">
        <v>120</v>
      </c>
      <c r="O13" s="674">
        <v>89</v>
      </c>
      <c r="P13" s="675">
        <v>831</v>
      </c>
      <c r="Q13" s="674">
        <v>745</v>
      </c>
      <c r="R13" s="675"/>
      <c r="S13" s="674">
        <v>2009</v>
      </c>
      <c r="T13" s="675">
        <v>428</v>
      </c>
      <c r="U13" s="674">
        <v>135</v>
      </c>
      <c r="V13" s="675">
        <v>4923</v>
      </c>
      <c r="W13" s="674">
        <v>3588</v>
      </c>
      <c r="X13" s="675">
        <v>11216</v>
      </c>
      <c r="Y13" s="674">
        <v>8155</v>
      </c>
      <c r="Z13" s="675">
        <v>85</v>
      </c>
      <c r="AA13" s="674">
        <v>81</v>
      </c>
      <c r="AB13" s="675"/>
      <c r="AC13" s="674"/>
      <c r="AD13" s="675">
        <v>1249</v>
      </c>
      <c r="AE13" s="674">
        <v>1241</v>
      </c>
      <c r="AF13" s="679">
        <v>5519</v>
      </c>
      <c r="AG13" s="687">
        <v>3512</v>
      </c>
      <c r="AH13" s="679">
        <v>2104</v>
      </c>
      <c r="AI13" s="687">
        <v>794</v>
      </c>
      <c r="AJ13" s="679">
        <v>1231</v>
      </c>
      <c r="AK13" s="687">
        <v>899</v>
      </c>
      <c r="AL13" s="679"/>
      <c r="AM13" s="687"/>
      <c r="AN13" s="679">
        <v>12652</v>
      </c>
      <c r="AO13" s="684">
        <v>7424</v>
      </c>
      <c r="AP13" s="679">
        <v>684</v>
      </c>
      <c r="AQ13" s="684">
        <v>352</v>
      </c>
      <c r="AR13" s="679">
        <v>1</v>
      </c>
      <c r="AS13" s="684"/>
      <c r="AT13" s="679">
        <v>15444</v>
      </c>
      <c r="AU13" s="684">
        <v>8176</v>
      </c>
      <c r="AV13" s="679">
        <f t="shared" si="0"/>
        <v>70262</v>
      </c>
      <c r="AW13" s="686">
        <f t="shared" si="0"/>
        <v>45060</v>
      </c>
      <c r="AX13" s="691">
        <v>176681</v>
      </c>
      <c r="AY13" s="692">
        <v>109956</v>
      </c>
      <c r="AZ13" s="679"/>
      <c r="BA13" s="680"/>
    </row>
    <row r="14" spans="1:53" s="689" customFormat="1" ht="14.25" x14ac:dyDescent="0.3">
      <c r="A14" s="684" t="s">
        <v>308</v>
      </c>
      <c r="B14" s="675">
        <f>B12+B13</f>
        <v>84360</v>
      </c>
      <c r="C14" s="673">
        <v>59624</v>
      </c>
      <c r="D14" s="675">
        <f>D12+D13</f>
        <v>158</v>
      </c>
      <c r="E14" s="673">
        <f>E12+E13</f>
        <v>293</v>
      </c>
      <c r="F14" s="675">
        <f>F12+F13</f>
        <v>3521</v>
      </c>
      <c r="G14" s="674">
        <f>G12+G13</f>
        <v>3245</v>
      </c>
      <c r="H14" s="675">
        <f>H12+H13</f>
        <v>120667</v>
      </c>
      <c r="I14" s="674">
        <v>83397</v>
      </c>
      <c r="J14" s="675">
        <f>J12+J13</f>
        <v>18828</v>
      </c>
      <c r="K14" s="673">
        <v>16808</v>
      </c>
      <c r="L14" s="675">
        <f>L12+L13</f>
        <v>41355</v>
      </c>
      <c r="M14" s="674">
        <f>M12+M13</f>
        <v>35920</v>
      </c>
      <c r="N14" s="675">
        <f>N12+N13</f>
        <v>6024</v>
      </c>
      <c r="O14" s="674">
        <v>3311</v>
      </c>
      <c r="P14" s="675">
        <f>P12+P13</f>
        <v>13617</v>
      </c>
      <c r="Q14" s="674">
        <v>10727</v>
      </c>
      <c r="R14" s="675">
        <f>R12+R13</f>
        <v>0</v>
      </c>
      <c r="S14" s="674">
        <v>18447</v>
      </c>
      <c r="T14" s="675">
        <f>T12+T13</f>
        <v>6573</v>
      </c>
      <c r="U14" s="674">
        <v>4661</v>
      </c>
      <c r="V14" s="675">
        <f>V12+V13</f>
        <v>271018</v>
      </c>
      <c r="W14" s="674">
        <v>194029</v>
      </c>
      <c r="X14" s="675">
        <f t="shared" ref="X14:AD14" si="7">X12+X13</f>
        <v>186389</v>
      </c>
      <c r="Y14" s="674">
        <f t="shared" si="7"/>
        <v>167291</v>
      </c>
      <c r="Z14" s="675">
        <f t="shared" si="7"/>
        <v>10806</v>
      </c>
      <c r="AA14" s="674">
        <f t="shared" si="7"/>
        <v>8191</v>
      </c>
      <c r="AB14" s="675">
        <f t="shared" si="7"/>
        <v>31043</v>
      </c>
      <c r="AC14" s="674">
        <f t="shared" si="7"/>
        <v>25370</v>
      </c>
      <c r="AD14" s="675">
        <f t="shared" si="7"/>
        <v>81421</v>
      </c>
      <c r="AE14" s="674">
        <f t="shared" ref="AE14:AK14" si="8">AE12+AE13</f>
        <v>59028</v>
      </c>
      <c r="AF14" s="679">
        <f t="shared" si="8"/>
        <v>161383</v>
      </c>
      <c r="AG14" s="687">
        <f t="shared" si="8"/>
        <v>140282</v>
      </c>
      <c r="AH14" s="679">
        <f t="shared" si="8"/>
        <v>51945</v>
      </c>
      <c r="AI14" s="687">
        <f t="shared" si="8"/>
        <v>40678</v>
      </c>
      <c r="AJ14" s="679">
        <f t="shared" si="8"/>
        <v>16414</v>
      </c>
      <c r="AK14" s="687">
        <f t="shared" si="8"/>
        <v>15481</v>
      </c>
      <c r="AL14" s="679"/>
      <c r="AM14" s="687"/>
      <c r="AN14" s="679">
        <f>AN12+AN13</f>
        <v>306248</v>
      </c>
      <c r="AO14" s="684">
        <f>AO12+AO13</f>
        <v>215829</v>
      </c>
      <c r="AP14" s="679">
        <f>AP12+AP13</f>
        <v>15042</v>
      </c>
      <c r="AQ14" s="684">
        <f>AQ12+AQ13</f>
        <v>12764</v>
      </c>
      <c r="AR14" s="679">
        <f>AR12+AR13</f>
        <v>29877</v>
      </c>
      <c r="AS14" s="684">
        <f>AS12</f>
        <v>23780</v>
      </c>
      <c r="AT14" s="679">
        <f>AT12+AT13</f>
        <v>199621</v>
      </c>
      <c r="AU14" s="684">
        <f>AU12+AU13</f>
        <v>132153</v>
      </c>
      <c r="AV14" s="679">
        <f t="shared" si="0"/>
        <v>1656310</v>
      </c>
      <c r="AW14" s="686">
        <f t="shared" si="0"/>
        <v>1271309</v>
      </c>
      <c r="AX14" s="691">
        <f>AX12+AX13</f>
        <v>2558039</v>
      </c>
      <c r="AY14" s="692">
        <f>AY12+AY13</f>
        <v>2317143</v>
      </c>
      <c r="AZ14" s="679"/>
      <c r="BA14" s="680"/>
    </row>
    <row r="15" spans="1:53" s="147" customFormat="1" ht="14.25" x14ac:dyDescent="0.3">
      <c r="A15" s="163" t="s">
        <v>65</v>
      </c>
      <c r="B15" s="728"/>
      <c r="C15" s="105"/>
      <c r="D15" s="98"/>
      <c r="E15" s="100"/>
      <c r="F15" s="98"/>
      <c r="G15" s="106"/>
      <c r="H15" s="98"/>
      <c r="I15" s="106"/>
      <c r="J15" s="98"/>
      <c r="K15" s="100"/>
      <c r="L15" s="98"/>
      <c r="M15" s="106"/>
      <c r="N15" s="98"/>
      <c r="O15" s="106"/>
      <c r="P15" s="98"/>
      <c r="Q15" s="106"/>
      <c r="R15" s="98"/>
      <c r="S15" s="106"/>
      <c r="T15" s="98"/>
      <c r="U15" s="106"/>
      <c r="V15" s="98"/>
      <c r="W15" s="106"/>
      <c r="X15" s="98"/>
      <c r="Y15" s="106"/>
      <c r="Z15" s="98"/>
      <c r="AA15" s="106"/>
      <c r="AB15" s="98"/>
      <c r="AC15" s="106"/>
      <c r="AD15" s="98"/>
      <c r="AE15" s="106"/>
      <c r="AF15" s="98"/>
      <c r="AG15" s="106"/>
      <c r="AH15" s="98"/>
      <c r="AI15" s="106"/>
      <c r="AJ15" s="98"/>
      <c r="AK15" s="106"/>
      <c r="AL15" s="98"/>
      <c r="AM15" s="106"/>
      <c r="AN15" s="98"/>
      <c r="AO15" s="106"/>
      <c r="AP15" s="717"/>
      <c r="AQ15" s="120"/>
      <c r="AR15" s="715"/>
      <c r="AS15" s="121"/>
      <c r="AT15" s="98"/>
      <c r="AU15" s="106"/>
      <c r="AV15" s="112">
        <f t="shared" ref="AV15:AV27" si="9">SUM(B15+D15+F15+H15+J15+L15+N15+P15+R15+T15+V15+X15+Z15+AB15+AD15+AF15+AH15+AJ15+AL15+AN15+AP15+AR15+AT15)</f>
        <v>0</v>
      </c>
      <c r="AW15" s="123">
        <f t="shared" ref="AW15:AW27" si="10">SUM(C15+E15+G15+I15+K15+M15+O15+Q15+S15+U15+W15+Y15+AA15+AC15+AE15+AG15+AI15+AK15+AM15+AO15+AQ15+AS15+AU15)</f>
        <v>0</v>
      </c>
      <c r="AX15" s="713"/>
      <c r="AY15" s="121"/>
      <c r="AZ15" s="112">
        <f t="shared" ref="AZ15:AZ27" si="11">AV15+AX15</f>
        <v>0</v>
      </c>
      <c r="BA15" s="113">
        <f t="shared" ref="BA15:BA27" si="12">AW15+AY15</f>
        <v>0</v>
      </c>
    </row>
    <row r="16" spans="1:53" s="147" customFormat="1" ht="14.25" x14ac:dyDescent="0.3">
      <c r="A16" s="163" t="s">
        <v>66</v>
      </c>
      <c r="B16" s="728"/>
      <c r="C16" s="105"/>
      <c r="D16" s="98"/>
      <c r="E16" s="100"/>
      <c r="F16" s="98"/>
      <c r="G16" s="106"/>
      <c r="H16" s="98"/>
      <c r="I16" s="106"/>
      <c r="J16" s="98"/>
      <c r="K16" s="100"/>
      <c r="L16" s="98"/>
      <c r="M16" s="106"/>
      <c r="N16" s="98"/>
      <c r="O16" s="106"/>
      <c r="P16" s="98"/>
      <c r="Q16" s="106"/>
      <c r="R16" s="98"/>
      <c r="S16" s="106"/>
      <c r="T16" s="98"/>
      <c r="U16" s="106"/>
      <c r="V16" s="98"/>
      <c r="W16" s="106"/>
      <c r="X16" s="98"/>
      <c r="Y16" s="106"/>
      <c r="Z16" s="98"/>
      <c r="AA16" s="106"/>
      <c r="AB16" s="98"/>
      <c r="AC16" s="106"/>
      <c r="AD16" s="98"/>
      <c r="AE16" s="106"/>
      <c r="AF16" s="98"/>
      <c r="AG16" s="106"/>
      <c r="AH16" s="98"/>
      <c r="AI16" s="106"/>
      <c r="AJ16" s="98"/>
      <c r="AK16" s="106"/>
      <c r="AL16" s="98"/>
      <c r="AM16" s="106"/>
      <c r="AN16" s="98"/>
      <c r="AO16" s="106"/>
      <c r="AP16" s="717"/>
      <c r="AQ16" s="120"/>
      <c r="AR16" s="715"/>
      <c r="AS16" s="121"/>
      <c r="AT16" s="98"/>
      <c r="AU16" s="106"/>
      <c r="AV16" s="112">
        <f t="shared" si="9"/>
        <v>0</v>
      </c>
      <c r="AW16" s="123">
        <f t="shared" si="10"/>
        <v>0</v>
      </c>
      <c r="AX16" s="713"/>
      <c r="AY16" s="121"/>
      <c r="AZ16" s="112">
        <f t="shared" si="11"/>
        <v>0</v>
      </c>
      <c r="BA16" s="113">
        <f t="shared" si="12"/>
        <v>0</v>
      </c>
    </row>
    <row r="17" spans="1:53" s="147" customFormat="1" ht="14.25" x14ac:dyDescent="0.3">
      <c r="A17" s="162" t="s">
        <v>67</v>
      </c>
      <c r="B17" s="729">
        <v>35236</v>
      </c>
      <c r="C17" s="731">
        <v>24253</v>
      </c>
      <c r="D17" s="112">
        <v>6</v>
      </c>
      <c r="E17" s="116">
        <v>9</v>
      </c>
      <c r="F17" s="112">
        <v>797</v>
      </c>
      <c r="G17" s="117">
        <v>1015</v>
      </c>
      <c r="H17" s="112">
        <v>48514</v>
      </c>
      <c r="I17" s="117">
        <v>34311</v>
      </c>
      <c r="J17" s="112">
        <v>5887</v>
      </c>
      <c r="K17" s="116">
        <v>5261</v>
      </c>
      <c r="L17" s="112">
        <v>110</v>
      </c>
      <c r="M17" s="117">
        <v>124</v>
      </c>
      <c r="N17" s="112">
        <v>2546</v>
      </c>
      <c r="O17" s="117">
        <v>1904</v>
      </c>
      <c r="P17" s="112">
        <v>8112</v>
      </c>
      <c r="Q17" s="117">
        <v>6721</v>
      </c>
      <c r="R17" s="112"/>
      <c r="S17" s="117">
        <v>11320</v>
      </c>
      <c r="T17" s="112">
        <v>2297</v>
      </c>
      <c r="U17" s="117">
        <v>1496</v>
      </c>
      <c r="V17" s="112">
        <v>64929</v>
      </c>
      <c r="W17" s="117">
        <v>37562</v>
      </c>
      <c r="X17" s="112">
        <v>66319</v>
      </c>
      <c r="Y17" s="117">
        <v>35957</v>
      </c>
      <c r="Z17" s="723">
        <v>617</v>
      </c>
      <c r="AA17" s="447">
        <v>389</v>
      </c>
      <c r="AB17" s="112">
        <v>1358</v>
      </c>
      <c r="AC17" s="117">
        <v>1419</v>
      </c>
      <c r="AD17" s="722">
        <v>28461</v>
      </c>
      <c r="AE17" s="448">
        <v>20128</v>
      </c>
      <c r="AF17" s="112">
        <v>39323</v>
      </c>
      <c r="AG17" s="117">
        <v>28516</v>
      </c>
      <c r="AH17" s="112">
        <v>7004</v>
      </c>
      <c r="AI17" s="117">
        <v>3818</v>
      </c>
      <c r="AJ17" s="112">
        <v>12188</v>
      </c>
      <c r="AK17" s="117">
        <v>12102</v>
      </c>
      <c r="AL17" s="98"/>
      <c r="AM17" s="106"/>
      <c r="AN17" s="719">
        <v>109658</v>
      </c>
      <c r="AO17" s="162">
        <v>74585</v>
      </c>
      <c r="AP17" s="717">
        <v>1646</v>
      </c>
      <c r="AQ17" s="120">
        <v>1667</v>
      </c>
      <c r="AR17" s="715">
        <v>85</v>
      </c>
      <c r="AS17" s="121">
        <v>31</v>
      </c>
      <c r="AT17" s="112">
        <v>75336</v>
      </c>
      <c r="AU17" s="117">
        <v>47414</v>
      </c>
      <c r="AV17" s="112">
        <f t="shared" si="9"/>
        <v>510429</v>
      </c>
      <c r="AW17" s="123">
        <f t="shared" si="10"/>
        <v>350002</v>
      </c>
      <c r="AX17" s="122">
        <v>2528183</v>
      </c>
      <c r="AY17" s="117">
        <v>2341439</v>
      </c>
      <c r="AZ17" s="112">
        <f t="shared" si="11"/>
        <v>3038612</v>
      </c>
      <c r="BA17" s="113">
        <f t="shared" si="12"/>
        <v>2691441</v>
      </c>
    </row>
    <row r="18" spans="1:53" s="147" customFormat="1" ht="14.25" x14ac:dyDescent="0.3">
      <c r="A18" s="162" t="s">
        <v>6</v>
      </c>
      <c r="B18" s="728">
        <v>3150</v>
      </c>
      <c r="C18" s="105">
        <v>2048</v>
      </c>
      <c r="D18" s="98">
        <v>100</v>
      </c>
      <c r="E18" s="100">
        <v>99</v>
      </c>
      <c r="F18" s="98">
        <v>429</v>
      </c>
      <c r="G18" s="106">
        <v>314</v>
      </c>
      <c r="H18" s="98">
        <v>9031</v>
      </c>
      <c r="I18" s="106">
        <v>3244</v>
      </c>
      <c r="J18" s="98">
        <v>6850</v>
      </c>
      <c r="K18" s="100">
        <v>6296</v>
      </c>
      <c r="L18" s="98">
        <v>1954</v>
      </c>
      <c r="M18" s="106">
        <v>563</v>
      </c>
      <c r="N18" s="98">
        <v>787</v>
      </c>
      <c r="O18" s="106">
        <v>182</v>
      </c>
      <c r="P18" s="98">
        <v>344</v>
      </c>
      <c r="Q18" s="106">
        <v>585</v>
      </c>
      <c r="R18" s="98"/>
      <c r="S18" s="106">
        <v>6477</v>
      </c>
      <c r="T18" s="98">
        <v>628</v>
      </c>
      <c r="U18" s="106">
        <v>535</v>
      </c>
      <c r="V18" s="98">
        <v>29115</v>
      </c>
      <c r="W18" s="106">
        <v>17005</v>
      </c>
      <c r="X18" s="98">
        <v>24962</v>
      </c>
      <c r="Y18" s="106">
        <v>9112</v>
      </c>
      <c r="Z18" s="723">
        <v>47</v>
      </c>
      <c r="AA18" s="447">
        <v>87</v>
      </c>
      <c r="AB18" s="98">
        <v>1379</v>
      </c>
      <c r="AC18" s="106">
        <v>912</v>
      </c>
      <c r="AD18" s="98">
        <v>4710</v>
      </c>
      <c r="AE18" s="106">
        <v>2907</v>
      </c>
      <c r="AF18" s="98">
        <v>7112</v>
      </c>
      <c r="AG18" s="106">
        <v>2808</v>
      </c>
      <c r="AH18" s="98">
        <v>4513</v>
      </c>
      <c r="AI18" s="106">
        <v>2248</v>
      </c>
      <c r="AJ18" s="98">
        <v>1741</v>
      </c>
      <c r="AK18" s="106">
        <v>1467</v>
      </c>
      <c r="AL18" s="98"/>
      <c r="AM18" s="106"/>
      <c r="AN18" s="719">
        <v>746</v>
      </c>
      <c r="AO18" s="162">
        <v>710</v>
      </c>
      <c r="AP18" s="717">
        <v>2621</v>
      </c>
      <c r="AQ18" s="120">
        <v>1967</v>
      </c>
      <c r="AR18" s="715">
        <v>267</v>
      </c>
      <c r="AS18" s="121">
        <v>26</v>
      </c>
      <c r="AT18" s="98">
        <v>35654</v>
      </c>
      <c r="AU18" s="106">
        <v>15978</v>
      </c>
      <c r="AV18" s="112">
        <f t="shared" si="9"/>
        <v>136140</v>
      </c>
      <c r="AW18" s="123">
        <f t="shared" si="10"/>
        <v>75570</v>
      </c>
      <c r="AX18" s="119">
        <v>451</v>
      </c>
      <c r="AY18" s="106">
        <v>316</v>
      </c>
      <c r="AZ18" s="112">
        <f t="shared" si="11"/>
        <v>136591</v>
      </c>
      <c r="BA18" s="113">
        <f t="shared" si="12"/>
        <v>75886</v>
      </c>
    </row>
    <row r="19" spans="1:53" s="147" customFormat="1" ht="14.25" x14ac:dyDescent="0.3">
      <c r="A19" s="162" t="s">
        <v>68</v>
      </c>
      <c r="B19" s="728">
        <v>45761</v>
      </c>
      <c r="C19" s="105">
        <v>33241</v>
      </c>
      <c r="D19" s="98">
        <v>49</v>
      </c>
      <c r="E19" s="100">
        <v>59</v>
      </c>
      <c r="F19" s="98">
        <v>2101</v>
      </c>
      <c r="G19" s="106">
        <v>1713</v>
      </c>
      <c r="H19" s="98">
        <v>62237</v>
      </c>
      <c r="I19" s="106">
        <v>44263</v>
      </c>
      <c r="J19" s="98">
        <v>6091</v>
      </c>
      <c r="K19" s="100">
        <v>5247</v>
      </c>
      <c r="L19" s="98">
        <v>39009</v>
      </c>
      <c r="M19" s="106">
        <v>34816</v>
      </c>
      <c r="N19" s="98">
        <v>2625</v>
      </c>
      <c r="O19" s="106">
        <v>1170</v>
      </c>
      <c r="P19" s="98">
        <v>5072</v>
      </c>
      <c r="Q19" s="106">
        <v>3420</v>
      </c>
      <c r="R19" s="98"/>
      <c r="S19" s="106">
        <v>451</v>
      </c>
      <c r="T19" s="98">
        <v>3408</v>
      </c>
      <c r="U19" s="106">
        <v>2345</v>
      </c>
      <c r="V19" s="98">
        <v>26367</v>
      </c>
      <c r="W19" s="106">
        <v>16109</v>
      </c>
      <c r="X19" s="98">
        <v>93964</v>
      </c>
      <c r="Y19" s="106">
        <v>65214</v>
      </c>
      <c r="Z19" s="723">
        <v>10142</v>
      </c>
      <c r="AA19" s="447">
        <v>7715</v>
      </c>
      <c r="AB19" s="98">
        <v>28167</v>
      </c>
      <c r="AC19" s="106">
        <v>22866</v>
      </c>
      <c r="AD19" s="98">
        <v>45338</v>
      </c>
      <c r="AE19" s="106">
        <v>34324</v>
      </c>
      <c r="AF19" s="98">
        <v>2141</v>
      </c>
      <c r="AG19" s="106">
        <v>1254</v>
      </c>
      <c r="AH19" s="98">
        <v>38492</v>
      </c>
      <c r="AI19" s="106">
        <v>32595</v>
      </c>
      <c r="AJ19" s="98">
        <v>2473</v>
      </c>
      <c r="AK19" s="106">
        <v>1910</v>
      </c>
      <c r="AL19" s="98"/>
      <c r="AM19" s="106"/>
      <c r="AN19" s="719">
        <v>13595</v>
      </c>
      <c r="AO19" s="162">
        <v>7777</v>
      </c>
      <c r="AP19" s="717">
        <v>10762</v>
      </c>
      <c r="AQ19" s="120">
        <v>9060</v>
      </c>
      <c r="AR19" s="715">
        <v>77</v>
      </c>
      <c r="AS19" s="121"/>
      <c r="AT19" s="98">
        <v>2766</v>
      </c>
      <c r="AU19" s="106">
        <v>1716</v>
      </c>
      <c r="AV19" s="112">
        <f t="shared" si="9"/>
        <v>440637</v>
      </c>
      <c r="AW19" s="123">
        <f t="shared" si="10"/>
        <v>327265</v>
      </c>
      <c r="AX19" s="119">
        <v>2160</v>
      </c>
      <c r="AY19" s="106">
        <v>1738</v>
      </c>
      <c r="AZ19" s="112">
        <f t="shared" si="11"/>
        <v>442797</v>
      </c>
      <c r="BA19" s="113">
        <f t="shared" si="12"/>
        <v>329003</v>
      </c>
    </row>
    <row r="20" spans="1:53" s="147" customFormat="1" ht="14.25" x14ac:dyDescent="0.3">
      <c r="A20" s="162" t="s">
        <v>69</v>
      </c>
      <c r="B20" s="728"/>
      <c r="C20" s="105"/>
      <c r="D20" s="98"/>
      <c r="E20" s="100"/>
      <c r="F20" s="98"/>
      <c r="G20" s="106"/>
      <c r="H20" s="98"/>
      <c r="I20" s="106"/>
      <c r="J20" s="98"/>
      <c r="K20" s="100"/>
      <c r="L20" s="98"/>
      <c r="M20" s="106"/>
      <c r="N20" s="98"/>
      <c r="O20" s="106"/>
      <c r="P20" s="98"/>
      <c r="Q20" s="106"/>
      <c r="R20" s="98"/>
      <c r="S20" s="106">
        <v>35</v>
      </c>
      <c r="T20" s="98"/>
      <c r="U20" s="106"/>
      <c r="V20" s="98">
        <v>149754</v>
      </c>
      <c r="W20" s="106">
        <v>120704</v>
      </c>
      <c r="X20" s="98"/>
      <c r="Y20" s="106"/>
      <c r="Z20" s="723"/>
      <c r="AA20" s="447"/>
      <c r="AB20" s="98"/>
      <c r="AC20" s="106"/>
      <c r="AD20" s="98"/>
      <c r="AE20" s="106"/>
      <c r="AF20" s="98">
        <v>111307</v>
      </c>
      <c r="AG20" s="106">
        <v>103803</v>
      </c>
      <c r="AH20" s="98"/>
      <c r="AI20" s="106"/>
      <c r="AJ20" s="98"/>
      <c r="AK20" s="106"/>
      <c r="AL20" s="98"/>
      <c r="AM20" s="106"/>
      <c r="AN20" s="719">
        <v>182202</v>
      </c>
      <c r="AO20" s="162">
        <v>132681</v>
      </c>
      <c r="AP20" s="717"/>
      <c r="AQ20" s="120">
        <v>69</v>
      </c>
      <c r="AR20" s="715">
        <v>29385</v>
      </c>
      <c r="AS20" s="121">
        <v>23723</v>
      </c>
      <c r="AT20" s="98">
        <v>85981</v>
      </c>
      <c r="AU20" s="106">
        <v>64659</v>
      </c>
      <c r="AV20" s="112">
        <f t="shared" si="9"/>
        <v>558629</v>
      </c>
      <c r="AW20" s="123">
        <f t="shared" si="10"/>
        <v>445674</v>
      </c>
      <c r="AX20" s="119"/>
      <c r="AY20" s="106"/>
      <c r="AZ20" s="112">
        <f t="shared" si="11"/>
        <v>558629</v>
      </c>
      <c r="BA20" s="113">
        <f t="shared" si="12"/>
        <v>445674</v>
      </c>
    </row>
    <row r="21" spans="1:53" s="147" customFormat="1" ht="14.25" x14ac:dyDescent="0.3">
      <c r="A21" s="162" t="s">
        <v>70</v>
      </c>
      <c r="B21" s="728"/>
      <c r="C21" s="105"/>
      <c r="D21" s="98"/>
      <c r="E21" s="100"/>
      <c r="F21" s="98"/>
      <c r="G21" s="106"/>
      <c r="H21" s="98">
        <v>307</v>
      </c>
      <c r="I21" s="106">
        <v>983</v>
      </c>
      <c r="J21" s="98"/>
      <c r="K21" s="100"/>
      <c r="L21" s="98"/>
      <c r="M21" s="106"/>
      <c r="N21" s="98">
        <v>66</v>
      </c>
      <c r="O21" s="106">
        <v>55</v>
      </c>
      <c r="P21" s="98"/>
      <c r="Q21" s="106"/>
      <c r="R21" s="98"/>
      <c r="S21" s="106"/>
      <c r="T21" s="98"/>
      <c r="U21" s="106"/>
      <c r="V21" s="98">
        <v>676</v>
      </c>
      <c r="W21" s="106">
        <v>378</v>
      </c>
      <c r="X21" s="725">
        <v>360</v>
      </c>
      <c r="Y21" s="107">
        <v>94</v>
      </c>
      <c r="Z21" s="723"/>
      <c r="AA21" s="447"/>
      <c r="AB21" s="98"/>
      <c r="AC21" s="106"/>
      <c r="AD21" s="98">
        <v>2865</v>
      </c>
      <c r="AE21" s="106">
        <v>1507</v>
      </c>
      <c r="AF21" s="98"/>
      <c r="AG21" s="106"/>
      <c r="AH21" s="98"/>
      <c r="AI21" s="106"/>
      <c r="AJ21" s="98"/>
      <c r="AK21" s="106"/>
      <c r="AL21" s="98"/>
      <c r="AM21" s="106"/>
      <c r="AN21" s="98"/>
      <c r="AO21" s="106"/>
      <c r="AP21" s="717"/>
      <c r="AQ21" s="120"/>
      <c r="AR21" s="715"/>
      <c r="AS21" s="121"/>
      <c r="AT21" s="98">
        <v>28</v>
      </c>
      <c r="AU21" s="106">
        <v>30</v>
      </c>
      <c r="AV21" s="112">
        <f t="shared" si="9"/>
        <v>4302</v>
      </c>
      <c r="AW21" s="123">
        <f t="shared" si="10"/>
        <v>3047</v>
      </c>
      <c r="AX21" s="119">
        <v>5868</v>
      </c>
      <c r="AY21" s="106">
        <v>6534</v>
      </c>
      <c r="AZ21" s="112">
        <f t="shared" si="11"/>
        <v>10170</v>
      </c>
      <c r="BA21" s="113">
        <f t="shared" si="12"/>
        <v>9581</v>
      </c>
    </row>
    <row r="22" spans="1:53" s="147" customFormat="1" ht="14.25" x14ac:dyDescent="0.3">
      <c r="A22" s="162" t="s">
        <v>15</v>
      </c>
      <c r="B22" s="729"/>
      <c r="C22" s="731"/>
      <c r="D22" s="112"/>
      <c r="E22" s="116"/>
      <c r="F22" s="112"/>
      <c r="G22" s="117"/>
      <c r="H22" s="112"/>
      <c r="I22" s="117"/>
      <c r="J22" s="112"/>
      <c r="K22" s="116"/>
      <c r="L22" s="112"/>
      <c r="M22" s="117"/>
      <c r="N22" s="112"/>
      <c r="O22" s="117"/>
      <c r="P22" s="112"/>
      <c r="Q22" s="117"/>
      <c r="R22" s="112"/>
      <c r="S22" s="117"/>
      <c r="T22" s="112"/>
      <c r="U22" s="117"/>
      <c r="V22" s="112"/>
      <c r="W22" s="117"/>
      <c r="X22" s="112"/>
      <c r="Y22" s="117"/>
      <c r="Z22" s="723"/>
      <c r="AA22" s="447"/>
      <c r="AB22" s="112">
        <v>139</v>
      </c>
      <c r="AC22" s="117">
        <v>172</v>
      </c>
      <c r="AD22" s="722"/>
      <c r="AE22" s="448"/>
      <c r="AF22" s="112"/>
      <c r="AG22" s="117"/>
      <c r="AH22" s="112"/>
      <c r="AI22" s="117"/>
      <c r="AJ22" s="112"/>
      <c r="AK22" s="117"/>
      <c r="AL22" s="98"/>
      <c r="AM22" s="106"/>
      <c r="AN22" s="719"/>
      <c r="AO22" s="162"/>
      <c r="AP22" s="717"/>
      <c r="AQ22" s="120"/>
      <c r="AR22" s="715"/>
      <c r="AS22" s="121"/>
      <c r="AT22" s="112"/>
      <c r="AU22" s="117"/>
      <c r="AV22" s="112">
        <f t="shared" si="9"/>
        <v>139</v>
      </c>
      <c r="AW22" s="123">
        <f t="shared" si="10"/>
        <v>172</v>
      </c>
      <c r="AX22" s="122">
        <v>1893</v>
      </c>
      <c r="AY22" s="117">
        <v>4</v>
      </c>
      <c r="AZ22" s="112">
        <f t="shared" si="11"/>
        <v>2032</v>
      </c>
      <c r="BA22" s="113">
        <f t="shared" si="12"/>
        <v>176</v>
      </c>
    </row>
    <row r="23" spans="1:53" s="147" customFormat="1" ht="14.25" x14ac:dyDescent="0.3">
      <c r="A23" s="162" t="s">
        <v>17</v>
      </c>
      <c r="B23" s="728"/>
      <c r="C23" s="105"/>
      <c r="D23" s="98"/>
      <c r="E23" s="100"/>
      <c r="F23" s="98">
        <v>195</v>
      </c>
      <c r="G23" s="106">
        <v>200</v>
      </c>
      <c r="H23" s="98"/>
      <c r="I23" s="106"/>
      <c r="J23" s="98"/>
      <c r="K23" s="100"/>
      <c r="L23" s="98"/>
      <c r="M23" s="106"/>
      <c r="N23" s="98"/>
      <c r="O23" s="106"/>
      <c r="P23" s="98"/>
      <c r="Q23" s="106"/>
      <c r="R23" s="98"/>
      <c r="S23" s="106"/>
      <c r="T23" s="98">
        <v>241</v>
      </c>
      <c r="U23" s="106">
        <v>286</v>
      </c>
      <c r="V23" s="98">
        <v>149</v>
      </c>
      <c r="W23" s="106">
        <v>142</v>
      </c>
      <c r="X23" s="98">
        <v>668</v>
      </c>
      <c r="Y23" s="106">
        <v>372</v>
      </c>
      <c r="Z23" s="723"/>
      <c r="AA23" s="447"/>
      <c r="AB23" s="98"/>
      <c r="AC23" s="106"/>
      <c r="AD23" s="98">
        <v>1</v>
      </c>
      <c r="AE23" s="106"/>
      <c r="AF23" s="98">
        <v>1245</v>
      </c>
      <c r="AG23" s="106">
        <v>1055</v>
      </c>
      <c r="AH23" s="98">
        <v>1893</v>
      </c>
      <c r="AI23" s="106">
        <v>1387</v>
      </c>
      <c r="AJ23" s="98"/>
      <c r="AK23" s="106"/>
      <c r="AL23" s="98"/>
      <c r="AM23" s="106"/>
      <c r="AN23" s="719">
        <v>4</v>
      </c>
      <c r="AO23" s="162">
        <v>4</v>
      </c>
      <c r="AP23" s="717">
        <v>14.39</v>
      </c>
      <c r="AQ23" s="120"/>
      <c r="AR23" s="715">
        <v>64</v>
      </c>
      <c r="AS23" s="121"/>
      <c r="AT23" s="98"/>
      <c r="AU23" s="106"/>
      <c r="AV23" s="112">
        <f t="shared" si="9"/>
        <v>4474.3900000000003</v>
      </c>
      <c r="AW23" s="123">
        <f t="shared" si="10"/>
        <v>3446</v>
      </c>
      <c r="AX23" s="713">
        <v>2095</v>
      </c>
      <c r="AY23" s="121">
        <v>1944</v>
      </c>
      <c r="AZ23" s="112">
        <f t="shared" si="11"/>
        <v>6569.39</v>
      </c>
      <c r="BA23" s="113">
        <f t="shared" si="12"/>
        <v>5390</v>
      </c>
    </row>
    <row r="24" spans="1:53" s="147" customFormat="1" ht="14.25" x14ac:dyDescent="0.3">
      <c r="A24" s="162" t="s">
        <v>71</v>
      </c>
      <c r="B24" s="728">
        <v>-15</v>
      </c>
      <c r="C24" s="105">
        <v>31</v>
      </c>
      <c r="D24" s="98">
        <v>3</v>
      </c>
      <c r="E24" s="100">
        <v>126</v>
      </c>
      <c r="F24" s="98"/>
      <c r="G24" s="106"/>
      <c r="H24" s="98"/>
      <c r="I24" s="106"/>
      <c r="J24" s="98"/>
      <c r="K24" s="100">
        <v>3</v>
      </c>
      <c r="L24" s="98">
        <v>56</v>
      </c>
      <c r="M24" s="106">
        <v>86</v>
      </c>
      <c r="N24" s="98"/>
      <c r="O24" s="106"/>
      <c r="P24" s="98"/>
      <c r="Q24" s="106">
        <v>1</v>
      </c>
      <c r="R24" s="98"/>
      <c r="S24" s="106"/>
      <c r="T24" s="98"/>
      <c r="U24" s="106"/>
      <c r="V24" s="98">
        <v>18</v>
      </c>
      <c r="W24" s="106">
        <v>1165</v>
      </c>
      <c r="X24" s="98">
        <v>73</v>
      </c>
      <c r="Y24" s="106">
        <v>898</v>
      </c>
      <c r="Z24" s="723"/>
      <c r="AA24" s="447"/>
      <c r="AB24" s="98">
        <v>0.33</v>
      </c>
      <c r="AC24" s="106">
        <v>0.17</v>
      </c>
      <c r="AD24" s="98">
        <v>3</v>
      </c>
      <c r="AE24" s="106">
        <v>2</v>
      </c>
      <c r="AF24" s="98">
        <v>255</v>
      </c>
      <c r="AG24" s="106">
        <v>2844</v>
      </c>
      <c r="AH24" s="98">
        <v>37</v>
      </c>
      <c r="AI24" s="106">
        <v>629</v>
      </c>
      <c r="AJ24" s="98"/>
      <c r="AK24" s="106">
        <v>1</v>
      </c>
      <c r="AL24" s="98"/>
      <c r="AM24" s="106"/>
      <c r="AN24" s="719">
        <v>1</v>
      </c>
      <c r="AO24" s="162">
        <v>28</v>
      </c>
      <c r="AP24" s="717">
        <v>-0.37</v>
      </c>
      <c r="AQ24" s="120"/>
      <c r="AR24" s="715"/>
      <c r="AS24" s="121"/>
      <c r="AT24" s="98">
        <v>114</v>
      </c>
      <c r="AU24" s="106">
        <v>2385</v>
      </c>
      <c r="AV24" s="112">
        <f t="shared" si="9"/>
        <v>544.96</v>
      </c>
      <c r="AW24" s="123">
        <f t="shared" si="10"/>
        <v>8199.17</v>
      </c>
      <c r="AX24" s="713"/>
      <c r="AY24" s="121"/>
      <c r="AZ24" s="112">
        <f t="shared" si="11"/>
        <v>544.96</v>
      </c>
      <c r="BA24" s="113">
        <f t="shared" si="12"/>
        <v>8199.17</v>
      </c>
    </row>
    <row r="25" spans="1:53" s="147" customFormat="1" ht="14.25" x14ac:dyDescent="0.3">
      <c r="A25" s="162" t="s">
        <v>72</v>
      </c>
      <c r="B25" s="730"/>
      <c r="C25" s="732"/>
      <c r="D25" s="133"/>
      <c r="E25" s="129"/>
      <c r="F25" s="133">
        <v>-1</v>
      </c>
      <c r="G25" s="134">
        <v>3</v>
      </c>
      <c r="H25" s="133"/>
      <c r="I25" s="134"/>
      <c r="J25" s="133"/>
      <c r="K25" s="129"/>
      <c r="L25" s="133"/>
      <c r="M25" s="134"/>
      <c r="N25" s="133"/>
      <c r="O25" s="134"/>
      <c r="P25" s="133"/>
      <c r="Q25" s="134"/>
      <c r="R25" s="133"/>
      <c r="S25" s="134">
        <v>37</v>
      </c>
      <c r="T25" s="133"/>
      <c r="U25" s="134"/>
      <c r="V25" s="133">
        <v>-10</v>
      </c>
      <c r="W25" s="134"/>
      <c r="X25" s="133"/>
      <c r="Y25" s="134"/>
      <c r="Z25" s="724"/>
      <c r="AA25" s="449"/>
      <c r="AB25" s="133"/>
      <c r="AC25" s="134"/>
      <c r="AD25" s="133">
        <v>2</v>
      </c>
      <c r="AE25" s="134"/>
      <c r="AF25" s="133"/>
      <c r="AG25" s="134"/>
      <c r="AH25" s="133"/>
      <c r="AI25" s="134"/>
      <c r="AJ25" s="133">
        <v>11</v>
      </c>
      <c r="AK25" s="134"/>
      <c r="AL25" s="133"/>
      <c r="AM25" s="134"/>
      <c r="AN25" s="720"/>
      <c r="AO25" s="450"/>
      <c r="AP25" s="718"/>
      <c r="AQ25" s="135"/>
      <c r="AR25" s="716"/>
      <c r="AS25" s="136"/>
      <c r="AT25" s="133"/>
      <c r="AU25" s="134"/>
      <c r="AV25" s="112">
        <f t="shared" si="9"/>
        <v>2</v>
      </c>
      <c r="AW25" s="123">
        <f t="shared" si="10"/>
        <v>40</v>
      </c>
      <c r="AX25" s="714"/>
      <c r="AY25" s="136"/>
      <c r="AZ25" s="112">
        <f t="shared" si="11"/>
        <v>2</v>
      </c>
      <c r="BA25" s="113">
        <f t="shared" si="12"/>
        <v>40</v>
      </c>
    </row>
    <row r="26" spans="1:53" s="147" customFormat="1" ht="15" thickBot="1" x14ac:dyDescent="0.35">
      <c r="A26" s="450" t="s">
        <v>73</v>
      </c>
      <c r="B26" s="730">
        <v>228</v>
      </c>
      <c r="C26" s="733">
        <v>51</v>
      </c>
      <c r="D26" s="133"/>
      <c r="E26" s="451"/>
      <c r="F26" s="133"/>
      <c r="G26" s="452"/>
      <c r="H26" s="133">
        <v>578</v>
      </c>
      <c r="I26" s="452">
        <v>600</v>
      </c>
      <c r="J26" s="133"/>
      <c r="K26" s="129"/>
      <c r="L26" s="133">
        <v>226</v>
      </c>
      <c r="M26" s="134">
        <v>331</v>
      </c>
      <c r="N26" s="133"/>
      <c r="O26" s="134"/>
      <c r="P26" s="133">
        <v>89</v>
      </c>
      <c r="Q26" s="134"/>
      <c r="R26" s="133"/>
      <c r="S26" s="134">
        <v>127</v>
      </c>
      <c r="T26" s="133"/>
      <c r="U26" s="134"/>
      <c r="V26" s="133">
        <v>19</v>
      </c>
      <c r="W26" s="134">
        <v>965</v>
      </c>
      <c r="X26" s="133">
        <v>43</v>
      </c>
      <c r="Y26" s="134"/>
      <c r="Z26" s="724"/>
      <c r="AA26" s="449"/>
      <c r="AB26" s="133"/>
      <c r="AC26" s="134"/>
      <c r="AD26" s="133">
        <v>42</v>
      </c>
      <c r="AE26" s="134">
        <v>160</v>
      </c>
      <c r="AF26" s="133"/>
      <c r="AG26" s="134"/>
      <c r="AH26" s="133">
        <v>6</v>
      </c>
      <c r="AI26" s="134">
        <v>1</v>
      </c>
      <c r="AJ26" s="133"/>
      <c r="AK26" s="134"/>
      <c r="AL26" s="133"/>
      <c r="AM26" s="134"/>
      <c r="AN26" s="720">
        <v>42</v>
      </c>
      <c r="AO26" s="450">
        <v>44</v>
      </c>
      <c r="AP26" s="718">
        <v>0.2</v>
      </c>
      <c r="AQ26" s="135"/>
      <c r="AR26" s="716"/>
      <c r="AS26" s="136"/>
      <c r="AT26" s="133"/>
      <c r="AU26" s="134"/>
      <c r="AV26" s="137">
        <f t="shared" si="9"/>
        <v>1273.2</v>
      </c>
      <c r="AW26" s="139">
        <f t="shared" si="10"/>
        <v>2279</v>
      </c>
      <c r="AX26" s="714">
        <v>17389</v>
      </c>
      <c r="AY26" s="136">
        <v>17141</v>
      </c>
      <c r="AZ26" s="137">
        <f t="shared" si="11"/>
        <v>18662.2</v>
      </c>
      <c r="BA26" s="454">
        <f t="shared" si="12"/>
        <v>19420</v>
      </c>
    </row>
    <row r="27" spans="1:53" s="453" customFormat="1" ht="15" thickBot="1" x14ac:dyDescent="0.35">
      <c r="A27" s="463" t="s">
        <v>54</v>
      </c>
      <c r="B27" s="455">
        <f t="shared" ref="B27:AU27" si="13">SUM(B17:B26)</f>
        <v>84360</v>
      </c>
      <c r="C27" s="456">
        <f t="shared" si="13"/>
        <v>59624</v>
      </c>
      <c r="D27" s="455">
        <f t="shared" si="13"/>
        <v>158</v>
      </c>
      <c r="E27" s="455">
        <f t="shared" si="13"/>
        <v>293</v>
      </c>
      <c r="F27" s="455">
        <f t="shared" si="13"/>
        <v>3521</v>
      </c>
      <c r="G27" s="455">
        <f t="shared" si="13"/>
        <v>3245</v>
      </c>
      <c r="H27" s="455">
        <f t="shared" si="13"/>
        <v>120667</v>
      </c>
      <c r="I27" s="455">
        <f>SUM(I17:I26)</f>
        <v>83401</v>
      </c>
      <c r="J27" s="455">
        <f t="shared" si="13"/>
        <v>18828</v>
      </c>
      <c r="K27" s="455">
        <f t="shared" si="13"/>
        <v>16807</v>
      </c>
      <c r="L27" s="455">
        <f t="shared" si="13"/>
        <v>41355</v>
      </c>
      <c r="M27" s="455">
        <f t="shared" si="13"/>
        <v>35920</v>
      </c>
      <c r="N27" s="455">
        <f t="shared" si="13"/>
        <v>6024</v>
      </c>
      <c r="O27" s="455">
        <f t="shared" si="13"/>
        <v>3311</v>
      </c>
      <c r="P27" s="455">
        <f t="shared" si="13"/>
        <v>13617</v>
      </c>
      <c r="Q27" s="455">
        <f t="shared" si="13"/>
        <v>10727</v>
      </c>
      <c r="R27" s="455">
        <f t="shared" si="13"/>
        <v>0</v>
      </c>
      <c r="S27" s="455">
        <f t="shared" si="13"/>
        <v>18447</v>
      </c>
      <c r="T27" s="455">
        <f t="shared" si="13"/>
        <v>6574</v>
      </c>
      <c r="U27" s="455">
        <f t="shared" si="13"/>
        <v>4662</v>
      </c>
      <c r="V27" s="455">
        <f t="shared" si="13"/>
        <v>271017</v>
      </c>
      <c r="W27" s="455">
        <f t="shared" si="13"/>
        <v>194030</v>
      </c>
      <c r="X27" s="455">
        <f t="shared" si="13"/>
        <v>186389</v>
      </c>
      <c r="Y27" s="455">
        <f t="shared" si="13"/>
        <v>111647</v>
      </c>
      <c r="Z27" s="455">
        <f t="shared" si="13"/>
        <v>10806</v>
      </c>
      <c r="AA27" s="455">
        <f t="shared" si="13"/>
        <v>8191</v>
      </c>
      <c r="AB27" s="455">
        <f t="shared" si="13"/>
        <v>31043.33</v>
      </c>
      <c r="AC27" s="455">
        <f t="shared" si="13"/>
        <v>25369.17</v>
      </c>
      <c r="AD27" s="455">
        <f t="shared" si="13"/>
        <v>81422</v>
      </c>
      <c r="AE27" s="455">
        <f t="shared" si="13"/>
        <v>59028</v>
      </c>
      <c r="AF27" s="455">
        <f t="shared" si="13"/>
        <v>161383</v>
      </c>
      <c r="AG27" s="455">
        <f t="shared" si="13"/>
        <v>140280</v>
      </c>
      <c r="AH27" s="455">
        <f t="shared" si="13"/>
        <v>51945</v>
      </c>
      <c r="AI27" s="455">
        <f t="shared" si="13"/>
        <v>40678</v>
      </c>
      <c r="AJ27" s="455">
        <f t="shared" si="13"/>
        <v>16413</v>
      </c>
      <c r="AK27" s="455">
        <f t="shared" si="13"/>
        <v>15480</v>
      </c>
      <c r="AL27" s="455">
        <f t="shared" si="13"/>
        <v>0</v>
      </c>
      <c r="AM27" s="455">
        <f t="shared" si="13"/>
        <v>0</v>
      </c>
      <c r="AN27" s="455">
        <f t="shared" si="13"/>
        <v>306248</v>
      </c>
      <c r="AO27" s="455">
        <f t="shared" si="13"/>
        <v>215829</v>
      </c>
      <c r="AP27" s="455">
        <f t="shared" si="13"/>
        <v>15043.22</v>
      </c>
      <c r="AQ27" s="455">
        <f t="shared" si="13"/>
        <v>12763</v>
      </c>
      <c r="AR27" s="455">
        <f t="shared" si="13"/>
        <v>29878</v>
      </c>
      <c r="AS27" s="455">
        <f t="shared" si="13"/>
        <v>23780</v>
      </c>
      <c r="AT27" s="455">
        <f t="shared" si="13"/>
        <v>199879</v>
      </c>
      <c r="AU27" s="455">
        <f t="shared" si="13"/>
        <v>132182</v>
      </c>
      <c r="AV27" s="458">
        <f t="shared" si="9"/>
        <v>1656570.55</v>
      </c>
      <c r="AW27" s="476">
        <f t="shared" si="10"/>
        <v>1215694.17</v>
      </c>
      <c r="AX27" s="460">
        <f>SUM(AX17:AX26)</f>
        <v>2558039</v>
      </c>
      <c r="AY27" s="461">
        <f>SUM(AY17:AY26)</f>
        <v>2369116</v>
      </c>
      <c r="AZ27" s="458">
        <f t="shared" si="11"/>
        <v>4214609.55</v>
      </c>
      <c r="BA27" s="462">
        <f t="shared" si="12"/>
        <v>3584810.17</v>
      </c>
    </row>
  </sheetData>
  <mergeCells count="26">
    <mergeCell ref="AZ3:BA3"/>
    <mergeCell ref="AB3:AC3"/>
    <mergeCell ref="AR3:AS3"/>
    <mergeCell ref="AX3:AY3"/>
    <mergeCell ref="AT3:AU3"/>
    <mergeCell ref="AV3:AW3"/>
    <mergeCell ref="AN3:AO3"/>
    <mergeCell ref="AP3:AQ3"/>
    <mergeCell ref="AL3:AM3"/>
    <mergeCell ref="AJ3:AK3"/>
    <mergeCell ref="AH3:AI3"/>
    <mergeCell ref="T3:U3"/>
    <mergeCell ref="B3:C3"/>
    <mergeCell ref="D3:E3"/>
    <mergeCell ref="AD3:AE3"/>
    <mergeCell ref="AF3:AG3"/>
    <mergeCell ref="V3:W3"/>
    <mergeCell ref="X3:Y3"/>
    <mergeCell ref="Z3:AA3"/>
    <mergeCell ref="H3:I3"/>
    <mergeCell ref="F3:G3"/>
    <mergeCell ref="L3:M3"/>
    <mergeCell ref="J3:K3"/>
    <mergeCell ref="N3:O3"/>
    <mergeCell ref="P3:Q3"/>
    <mergeCell ref="R3:S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BA39"/>
  <sheetViews>
    <sheetView workbookViewId="0">
      <pane xSplit="1" topLeftCell="B1" activePane="topRight" state="frozen"/>
      <selection pane="topRight" activeCell="F10" sqref="F10"/>
    </sheetView>
  </sheetViews>
  <sheetFormatPr defaultRowHeight="16.5" x14ac:dyDescent="0.3"/>
  <cols>
    <col min="1" max="1" width="59.42578125" style="118" bestFit="1" customWidth="1"/>
    <col min="2" max="25" width="12.42578125" style="118" bestFit="1" customWidth="1"/>
    <col min="26" max="26" width="12.42578125" style="118" customWidth="1"/>
    <col min="27" max="53" width="12.42578125" style="118" bestFit="1" customWidth="1"/>
    <col min="54" max="16384" width="9.140625" style="118"/>
  </cols>
  <sheetData>
    <row r="1" spans="1:53" ht="18" x14ac:dyDescent="0.35">
      <c r="A1" s="1411" t="s">
        <v>155</v>
      </c>
      <c r="B1" s="1411"/>
      <c r="C1" s="1411"/>
      <c r="D1" s="1411"/>
      <c r="E1" s="1411"/>
      <c r="F1" s="1411"/>
      <c r="G1" s="1411"/>
      <c r="H1" s="1411"/>
      <c r="I1" s="1411"/>
      <c r="J1" s="1411"/>
      <c r="K1" s="1411"/>
      <c r="L1" s="1411"/>
      <c r="M1" s="1411"/>
      <c r="N1" s="1411"/>
      <c r="O1" s="1411"/>
      <c r="P1" s="1411"/>
      <c r="Q1" s="1411"/>
      <c r="R1" s="1411"/>
      <c r="S1" s="1411"/>
      <c r="T1" s="1411"/>
      <c r="U1" s="1411"/>
      <c r="V1" s="1411"/>
      <c r="W1" s="1411"/>
      <c r="X1" s="1411"/>
      <c r="Y1" s="1411"/>
      <c r="Z1" s="1411"/>
      <c r="AA1" s="1411"/>
      <c r="AB1" s="1411"/>
      <c r="AC1" s="1411"/>
      <c r="AD1" s="1411"/>
      <c r="AE1" s="1411"/>
      <c r="AF1" s="1411"/>
      <c r="AG1" s="1411"/>
      <c r="AH1" s="1411"/>
      <c r="AI1" s="1411"/>
      <c r="AJ1" s="1411"/>
      <c r="AK1" s="1411"/>
      <c r="AL1" s="1411"/>
      <c r="AM1" s="1411"/>
      <c r="AN1" s="1411"/>
      <c r="AO1" s="1411"/>
      <c r="AP1" s="1411"/>
      <c r="AQ1" s="1411"/>
      <c r="AR1" s="1411"/>
      <c r="AS1" s="1411"/>
      <c r="AT1" s="1411"/>
      <c r="AU1" s="1411"/>
      <c r="AV1" s="1411"/>
      <c r="AW1" s="1411"/>
      <c r="AX1" s="1411"/>
      <c r="AY1" s="1411"/>
    </row>
    <row r="2" spans="1:53" s="467" customFormat="1" ht="18.75" thickBot="1" x14ac:dyDescent="0.4">
      <c r="A2" s="1412" t="s">
        <v>431</v>
      </c>
      <c r="B2" s="1412"/>
      <c r="C2" s="1412"/>
      <c r="D2" s="1412"/>
      <c r="E2" s="1412"/>
      <c r="F2" s="1412"/>
      <c r="G2" s="1412"/>
      <c r="H2" s="1412"/>
      <c r="I2" s="1412"/>
      <c r="J2" s="1412"/>
      <c r="K2" s="1412"/>
      <c r="L2" s="1412"/>
      <c r="M2" s="1412"/>
      <c r="N2" s="1412"/>
      <c r="O2" s="1412"/>
      <c r="P2" s="1412"/>
      <c r="Q2" s="1412"/>
      <c r="R2" s="1412"/>
      <c r="S2" s="1412"/>
      <c r="T2" s="1412"/>
      <c r="U2" s="1412"/>
      <c r="V2" s="1412"/>
      <c r="W2" s="1412"/>
      <c r="X2" s="1412"/>
      <c r="Y2" s="1412"/>
      <c r="Z2" s="1412"/>
      <c r="AA2" s="1412"/>
      <c r="AB2" s="1412"/>
      <c r="AC2" s="1412"/>
      <c r="AD2" s="1412"/>
      <c r="AE2" s="1412"/>
      <c r="AF2" s="1412"/>
      <c r="AG2" s="1412"/>
      <c r="AH2" s="1412"/>
      <c r="AI2" s="1412"/>
      <c r="AJ2" s="1412"/>
      <c r="AK2" s="1412"/>
      <c r="AL2" s="1412"/>
      <c r="AM2" s="1412"/>
      <c r="AN2" s="1412"/>
      <c r="AO2" s="1412"/>
      <c r="AP2" s="1412"/>
      <c r="AQ2" s="1412"/>
      <c r="AR2" s="1412"/>
      <c r="AS2" s="1412"/>
      <c r="AT2" s="1412"/>
      <c r="AU2" s="1412"/>
      <c r="AV2" s="1412"/>
      <c r="AW2" s="1412"/>
      <c r="AX2" s="1412"/>
      <c r="AY2" s="1412"/>
    </row>
    <row r="3" spans="1:53" s="773" customFormat="1" ht="30" customHeight="1" thickBot="1" x14ac:dyDescent="0.3">
      <c r="A3" s="1413" t="s">
        <v>0</v>
      </c>
      <c r="B3" s="1408" t="s">
        <v>158</v>
      </c>
      <c r="C3" s="1410"/>
      <c r="D3" s="1409" t="s">
        <v>159</v>
      </c>
      <c r="E3" s="1409"/>
      <c r="F3" s="1408" t="s">
        <v>160</v>
      </c>
      <c r="G3" s="1410"/>
      <c r="H3" s="1408" t="s">
        <v>161</v>
      </c>
      <c r="I3" s="1410"/>
      <c r="J3" s="1409" t="s">
        <v>162</v>
      </c>
      <c r="K3" s="1409"/>
      <c r="L3" s="1408" t="s">
        <v>163</v>
      </c>
      <c r="M3" s="1410"/>
      <c r="N3" s="1409" t="s">
        <v>312</v>
      </c>
      <c r="O3" s="1409"/>
      <c r="P3" s="1408" t="s">
        <v>164</v>
      </c>
      <c r="Q3" s="1410"/>
      <c r="R3" s="1409" t="s">
        <v>165</v>
      </c>
      <c r="S3" s="1409"/>
      <c r="T3" s="1408" t="s">
        <v>166</v>
      </c>
      <c r="U3" s="1409"/>
      <c r="V3" s="1408" t="s">
        <v>167</v>
      </c>
      <c r="W3" s="1410"/>
      <c r="X3" s="1409" t="s">
        <v>168</v>
      </c>
      <c r="Y3" s="1409"/>
      <c r="Z3" s="1408" t="s">
        <v>381</v>
      </c>
      <c r="AA3" s="1410"/>
      <c r="AB3" s="1409" t="s">
        <v>169</v>
      </c>
      <c r="AC3" s="1410"/>
      <c r="AD3" s="1409" t="s">
        <v>170</v>
      </c>
      <c r="AE3" s="1409"/>
      <c r="AF3" s="1408" t="s">
        <v>171</v>
      </c>
      <c r="AG3" s="1410"/>
      <c r="AH3" s="1409" t="s">
        <v>172</v>
      </c>
      <c r="AI3" s="1409"/>
      <c r="AJ3" s="1408" t="s">
        <v>173</v>
      </c>
      <c r="AK3" s="1409"/>
      <c r="AL3" s="1415" t="s">
        <v>174</v>
      </c>
      <c r="AM3" s="1416"/>
      <c r="AN3" s="1408" t="s">
        <v>175</v>
      </c>
      <c r="AO3" s="1409"/>
      <c r="AP3" s="1408" t="s">
        <v>176</v>
      </c>
      <c r="AQ3" s="1409"/>
      <c r="AR3" s="1408" t="s">
        <v>177</v>
      </c>
      <c r="AS3" s="1409"/>
      <c r="AT3" s="1408" t="s">
        <v>178</v>
      </c>
      <c r="AU3" s="1409"/>
      <c r="AV3" s="1408" t="s">
        <v>1</v>
      </c>
      <c r="AW3" s="1409"/>
      <c r="AX3" s="1408" t="s">
        <v>179</v>
      </c>
      <c r="AY3" s="1409"/>
      <c r="AZ3" s="1399" t="s">
        <v>2</v>
      </c>
      <c r="BA3" s="1407"/>
    </row>
    <row r="4" spans="1:53" s="471" customFormat="1" ht="15" customHeight="1" thickBot="1" x14ac:dyDescent="0.35">
      <c r="A4" s="1414"/>
      <c r="B4" s="469" t="s">
        <v>437</v>
      </c>
      <c r="C4" s="431" t="s">
        <v>420</v>
      </c>
      <c r="D4" s="469" t="s">
        <v>437</v>
      </c>
      <c r="E4" s="470" t="s">
        <v>420</v>
      </c>
      <c r="F4" s="469" t="s">
        <v>437</v>
      </c>
      <c r="G4" s="431" t="s">
        <v>420</v>
      </c>
      <c r="H4" s="469" t="s">
        <v>437</v>
      </c>
      <c r="I4" s="431" t="s">
        <v>420</v>
      </c>
      <c r="J4" s="470" t="s">
        <v>437</v>
      </c>
      <c r="K4" s="470" t="s">
        <v>420</v>
      </c>
      <c r="L4" s="469" t="s">
        <v>437</v>
      </c>
      <c r="M4" s="431" t="s">
        <v>420</v>
      </c>
      <c r="N4" s="470" t="s">
        <v>437</v>
      </c>
      <c r="O4" s="431" t="s">
        <v>420</v>
      </c>
      <c r="P4" s="469" t="s">
        <v>437</v>
      </c>
      <c r="Q4" s="431" t="s">
        <v>420</v>
      </c>
      <c r="R4" s="469" t="s">
        <v>437</v>
      </c>
      <c r="S4" s="431" t="s">
        <v>420</v>
      </c>
      <c r="T4" s="469" t="s">
        <v>437</v>
      </c>
      <c r="U4" s="470" t="s">
        <v>420</v>
      </c>
      <c r="V4" s="469" t="s">
        <v>437</v>
      </c>
      <c r="W4" s="431" t="s">
        <v>420</v>
      </c>
      <c r="X4" s="470" t="s">
        <v>437</v>
      </c>
      <c r="Y4" s="431" t="s">
        <v>420</v>
      </c>
      <c r="Z4" s="469" t="s">
        <v>437</v>
      </c>
      <c r="AA4" s="431" t="s">
        <v>420</v>
      </c>
      <c r="AB4" s="470" t="s">
        <v>437</v>
      </c>
      <c r="AC4" s="431" t="s">
        <v>420</v>
      </c>
      <c r="AD4" s="469" t="s">
        <v>437</v>
      </c>
      <c r="AE4" s="470" t="s">
        <v>420</v>
      </c>
      <c r="AF4" s="469" t="s">
        <v>437</v>
      </c>
      <c r="AG4" s="431" t="s">
        <v>420</v>
      </c>
      <c r="AH4" s="470" t="s">
        <v>437</v>
      </c>
      <c r="AI4" s="431" t="s">
        <v>420</v>
      </c>
      <c r="AJ4" s="469" t="s">
        <v>437</v>
      </c>
      <c r="AK4" s="431" t="s">
        <v>420</v>
      </c>
      <c r="AL4" s="470" t="s">
        <v>437</v>
      </c>
      <c r="AM4" s="431" t="s">
        <v>420</v>
      </c>
      <c r="AN4" s="469" t="s">
        <v>380</v>
      </c>
      <c r="AO4" s="431" t="s">
        <v>420</v>
      </c>
      <c r="AP4" s="469" t="s">
        <v>437</v>
      </c>
      <c r="AQ4" s="431" t="s">
        <v>420</v>
      </c>
      <c r="AR4" s="469" t="s">
        <v>437</v>
      </c>
      <c r="AS4" s="470" t="s">
        <v>420</v>
      </c>
      <c r="AT4" s="469" t="s">
        <v>437</v>
      </c>
      <c r="AU4" s="431" t="s">
        <v>420</v>
      </c>
      <c r="AV4" s="470" t="s">
        <v>437</v>
      </c>
      <c r="AW4" s="431" t="s">
        <v>420</v>
      </c>
      <c r="AX4" s="469" t="s">
        <v>437</v>
      </c>
      <c r="AY4" s="431" t="s">
        <v>420</v>
      </c>
      <c r="AZ4" s="470" t="s">
        <v>437</v>
      </c>
      <c r="BA4" s="431" t="s">
        <v>420</v>
      </c>
    </row>
    <row r="5" spans="1:53" ht="15" customHeight="1" x14ac:dyDescent="0.3">
      <c r="A5" s="597" t="s">
        <v>74</v>
      </c>
      <c r="B5" s="585">
        <v>101670</v>
      </c>
      <c r="C5" s="587">
        <v>76586</v>
      </c>
      <c r="D5" s="588">
        <v>7079</v>
      </c>
      <c r="E5" s="589">
        <v>6542</v>
      </c>
      <c r="F5" s="585">
        <v>14820</v>
      </c>
      <c r="G5" s="587">
        <v>14716</v>
      </c>
      <c r="H5" s="585">
        <v>247116</v>
      </c>
      <c r="I5" s="587">
        <v>190838</v>
      </c>
      <c r="J5" s="588">
        <v>50644</v>
      </c>
      <c r="K5" s="589">
        <v>44243</v>
      </c>
      <c r="L5" s="585">
        <v>47015</v>
      </c>
      <c r="M5" s="587">
        <v>43532</v>
      </c>
      <c r="N5" s="588">
        <v>19534</v>
      </c>
      <c r="O5" s="587">
        <v>17099</v>
      </c>
      <c r="P5" s="586">
        <v>31308</v>
      </c>
      <c r="Q5" s="587">
        <v>29872</v>
      </c>
      <c r="R5" s="586"/>
      <c r="S5" s="587">
        <v>32032</v>
      </c>
      <c r="T5" s="586">
        <v>37020</v>
      </c>
      <c r="U5" s="589">
        <v>34021</v>
      </c>
      <c r="V5" s="585">
        <v>289510</v>
      </c>
      <c r="W5" s="587">
        <v>202903</v>
      </c>
      <c r="X5" s="588">
        <v>144586</v>
      </c>
      <c r="Y5" s="589">
        <v>119702</v>
      </c>
      <c r="Z5" s="585">
        <v>20495</v>
      </c>
      <c r="AA5" s="587">
        <v>14351</v>
      </c>
      <c r="AB5" s="588">
        <v>37068</v>
      </c>
      <c r="AC5" s="587">
        <v>31327</v>
      </c>
      <c r="AD5" s="586">
        <v>125498</v>
      </c>
      <c r="AE5" s="587">
        <v>111143</v>
      </c>
      <c r="AF5" s="586">
        <v>203878</v>
      </c>
      <c r="AG5" s="587">
        <v>165149</v>
      </c>
      <c r="AH5" s="586">
        <v>84260</v>
      </c>
      <c r="AI5" s="589">
        <v>72224</v>
      </c>
      <c r="AJ5" s="585">
        <v>79301</v>
      </c>
      <c r="AK5" s="589">
        <v>74005</v>
      </c>
      <c r="AL5" s="590"/>
      <c r="AM5" s="590"/>
      <c r="AN5" s="825">
        <v>180874</v>
      </c>
      <c r="AO5" s="821">
        <v>161943</v>
      </c>
      <c r="AP5" s="585">
        <v>38235</v>
      </c>
      <c r="AQ5" s="589">
        <v>33789.269999999997</v>
      </c>
      <c r="AR5" s="585">
        <v>44444</v>
      </c>
      <c r="AS5" s="589">
        <v>31612</v>
      </c>
      <c r="AT5" s="585">
        <v>134173</v>
      </c>
      <c r="AU5" s="589">
        <v>101051</v>
      </c>
      <c r="AV5" s="585">
        <f t="shared" ref="AV5:AV38" si="0">SUM(B5+D5+F5+H5+J5+L5+N5+P5+R5+T5+V5+X5+Z5+AB5+AD5+AF5+AH5+AJ5+AL5+AN5+AP5+AR5+AT5)</f>
        <v>1938528</v>
      </c>
      <c r="AW5" s="590">
        <f t="shared" ref="AW5:AW38" si="1">SUM(C5+E5+G5+I5+K5+M5+O5+Q5+S5+U5+W5+Y5+AA5+AC5+AE5+AG5+AI5+AK5+AM5+AO5+AQ5+AS5+AU5)</f>
        <v>1608680.27</v>
      </c>
      <c r="AX5" s="585">
        <v>4009390</v>
      </c>
      <c r="AY5" s="589">
        <v>3031057</v>
      </c>
      <c r="AZ5" s="585">
        <f t="shared" ref="AZ5:AZ38" si="2">AV5+AX5</f>
        <v>5947918</v>
      </c>
      <c r="BA5" s="591">
        <f t="shared" ref="BA5:BA38" si="3">AW5+AY5</f>
        <v>4639737.2699999996</v>
      </c>
    </row>
    <row r="6" spans="1:53" x14ac:dyDescent="0.3">
      <c r="A6" s="164" t="s">
        <v>75</v>
      </c>
      <c r="B6" s="165">
        <v>2414</v>
      </c>
      <c r="C6" s="166">
        <v>1083</v>
      </c>
      <c r="D6" s="167">
        <v>232</v>
      </c>
      <c r="E6" s="324">
        <v>70</v>
      </c>
      <c r="F6" s="172">
        <v>361</v>
      </c>
      <c r="G6" s="169">
        <v>158</v>
      </c>
      <c r="H6" s="172">
        <v>6134</v>
      </c>
      <c r="I6" s="169">
        <v>2348</v>
      </c>
      <c r="J6" s="167">
        <v>1223</v>
      </c>
      <c r="K6" s="324">
        <v>775</v>
      </c>
      <c r="L6" s="172">
        <v>2100</v>
      </c>
      <c r="M6" s="169">
        <v>1731</v>
      </c>
      <c r="N6" s="167">
        <v>358</v>
      </c>
      <c r="O6" s="169">
        <v>80</v>
      </c>
      <c r="P6" s="168">
        <v>1243</v>
      </c>
      <c r="Q6" s="169">
        <v>639</v>
      </c>
      <c r="R6" s="168"/>
      <c r="S6" s="169">
        <v>721</v>
      </c>
      <c r="T6" s="168">
        <v>1227</v>
      </c>
      <c r="U6" s="324">
        <v>157</v>
      </c>
      <c r="V6" s="172">
        <v>6232</v>
      </c>
      <c r="W6" s="169">
        <v>1848</v>
      </c>
      <c r="X6" s="167">
        <v>6366</v>
      </c>
      <c r="Y6" s="324">
        <v>2864</v>
      </c>
      <c r="Z6" s="326">
        <v>606</v>
      </c>
      <c r="AA6" s="516">
        <v>182</v>
      </c>
      <c r="AB6" s="167">
        <v>2214</v>
      </c>
      <c r="AC6" s="169">
        <v>1478</v>
      </c>
      <c r="AD6" s="168">
        <v>2116</v>
      </c>
      <c r="AE6" s="169">
        <v>1372</v>
      </c>
      <c r="AF6" s="168">
        <v>2022</v>
      </c>
      <c r="AG6" s="169">
        <v>350</v>
      </c>
      <c r="AH6" s="168">
        <v>2101</v>
      </c>
      <c r="AI6" s="324">
        <v>1150</v>
      </c>
      <c r="AJ6" s="172">
        <v>2568</v>
      </c>
      <c r="AK6" s="324">
        <v>1093</v>
      </c>
      <c r="AL6" s="829"/>
      <c r="AM6" s="829"/>
      <c r="AN6" s="826">
        <v>9864</v>
      </c>
      <c r="AO6" s="822">
        <v>7576</v>
      </c>
      <c r="AP6" s="574">
        <v>2230</v>
      </c>
      <c r="AQ6" s="818">
        <v>1769.2</v>
      </c>
      <c r="AR6" s="171">
        <v>1170</v>
      </c>
      <c r="AS6" s="472">
        <v>448</v>
      </c>
      <c r="AT6" s="172">
        <v>6986</v>
      </c>
      <c r="AU6" s="324">
        <v>2955</v>
      </c>
      <c r="AV6" s="173">
        <f t="shared" si="0"/>
        <v>59767</v>
      </c>
      <c r="AW6" s="473">
        <f t="shared" si="1"/>
        <v>30847.200000000001</v>
      </c>
      <c r="AX6" s="171">
        <v>33180</v>
      </c>
      <c r="AY6" s="472">
        <v>31358</v>
      </c>
      <c r="AZ6" s="173">
        <f t="shared" si="2"/>
        <v>92947</v>
      </c>
      <c r="BA6" s="812">
        <f t="shared" si="3"/>
        <v>62205.2</v>
      </c>
    </row>
    <row r="7" spans="1:53" x14ac:dyDescent="0.3">
      <c r="A7" s="164" t="s">
        <v>76</v>
      </c>
      <c r="B7" s="165">
        <v>7860</v>
      </c>
      <c r="C7" s="166">
        <v>2400</v>
      </c>
      <c r="D7" s="167">
        <v>19</v>
      </c>
      <c r="E7" s="324">
        <v>18</v>
      </c>
      <c r="F7" s="172">
        <v>2</v>
      </c>
      <c r="G7" s="169">
        <v>6</v>
      </c>
      <c r="H7" s="172">
        <v>8956</v>
      </c>
      <c r="I7" s="169">
        <v>1728</v>
      </c>
      <c r="J7" s="167">
        <v>375</v>
      </c>
      <c r="K7" s="324">
        <v>199</v>
      </c>
      <c r="L7" s="172">
        <v>1853</v>
      </c>
      <c r="M7" s="169">
        <v>895</v>
      </c>
      <c r="N7" s="167">
        <v>32</v>
      </c>
      <c r="O7" s="169">
        <v>17</v>
      </c>
      <c r="P7" s="168">
        <v>1785</v>
      </c>
      <c r="Q7" s="169">
        <v>344</v>
      </c>
      <c r="R7" s="168"/>
      <c r="S7" s="169">
        <v>10</v>
      </c>
      <c r="T7" s="168">
        <v>1251</v>
      </c>
      <c r="U7" s="324">
        <v>2338</v>
      </c>
      <c r="V7" s="172">
        <v>6363</v>
      </c>
      <c r="W7" s="169">
        <v>7112</v>
      </c>
      <c r="X7" s="167">
        <v>1349</v>
      </c>
      <c r="Y7" s="324">
        <v>672</v>
      </c>
      <c r="Z7" s="326">
        <v>129</v>
      </c>
      <c r="AA7" s="516">
        <v>27</v>
      </c>
      <c r="AB7" s="167">
        <v>2748</v>
      </c>
      <c r="AC7" s="169">
        <v>1703</v>
      </c>
      <c r="AD7" s="168">
        <v>2866</v>
      </c>
      <c r="AE7" s="169">
        <v>1234</v>
      </c>
      <c r="AF7" s="168">
        <v>9719</v>
      </c>
      <c r="AG7" s="169">
        <v>6751</v>
      </c>
      <c r="AH7" s="168">
        <v>2667</v>
      </c>
      <c r="AI7" s="324">
        <v>301</v>
      </c>
      <c r="AJ7" s="172">
        <v>827</v>
      </c>
      <c r="AK7" s="324">
        <v>661</v>
      </c>
      <c r="AL7" s="829"/>
      <c r="AM7" s="829"/>
      <c r="AN7" s="826">
        <v>12857</v>
      </c>
      <c r="AO7" s="822">
        <v>6968</v>
      </c>
      <c r="AP7" s="574">
        <v>403</v>
      </c>
      <c r="AQ7" s="818">
        <v>267.58999999999997</v>
      </c>
      <c r="AR7" s="171">
        <v>2933</v>
      </c>
      <c r="AS7" s="472">
        <v>738</v>
      </c>
      <c r="AT7" s="172">
        <v>21671</v>
      </c>
      <c r="AU7" s="324">
        <v>8290</v>
      </c>
      <c r="AV7" s="173">
        <f t="shared" si="0"/>
        <v>86665</v>
      </c>
      <c r="AW7" s="473">
        <f t="shared" si="1"/>
        <v>42679.59</v>
      </c>
      <c r="AX7" s="171">
        <v>3997</v>
      </c>
      <c r="AY7" s="472">
        <v>1151</v>
      </c>
      <c r="AZ7" s="173">
        <f t="shared" si="2"/>
        <v>90662</v>
      </c>
      <c r="BA7" s="812">
        <f t="shared" si="3"/>
        <v>43830.59</v>
      </c>
    </row>
    <row r="8" spans="1:53" x14ac:dyDescent="0.3">
      <c r="A8" s="164" t="s">
        <v>77</v>
      </c>
      <c r="B8" s="165">
        <v>5068</v>
      </c>
      <c r="C8" s="166">
        <v>5487</v>
      </c>
      <c r="D8" s="167">
        <v>142</v>
      </c>
      <c r="E8" s="324">
        <v>176</v>
      </c>
      <c r="F8" s="172">
        <v>1807</v>
      </c>
      <c r="G8" s="169">
        <v>3067</v>
      </c>
      <c r="H8" s="816">
        <v>3207</v>
      </c>
      <c r="I8" s="169">
        <v>3096</v>
      </c>
      <c r="J8" s="167">
        <v>2103</v>
      </c>
      <c r="K8" s="324">
        <v>2042</v>
      </c>
      <c r="L8" s="172">
        <v>1078</v>
      </c>
      <c r="M8" s="169">
        <v>948</v>
      </c>
      <c r="N8" s="167">
        <v>1992</v>
      </c>
      <c r="O8" s="169">
        <v>1850</v>
      </c>
      <c r="P8" s="168">
        <v>1225</v>
      </c>
      <c r="Q8" s="169">
        <v>1339</v>
      </c>
      <c r="R8" s="168"/>
      <c r="S8" s="169">
        <v>3078</v>
      </c>
      <c r="T8" s="168">
        <v>1982</v>
      </c>
      <c r="U8" s="324">
        <v>1994</v>
      </c>
      <c r="V8" s="172">
        <v>13428</v>
      </c>
      <c r="W8" s="169">
        <v>10891</v>
      </c>
      <c r="X8" s="167">
        <v>6999</v>
      </c>
      <c r="Y8" s="324">
        <v>6433</v>
      </c>
      <c r="Z8" s="326">
        <v>804</v>
      </c>
      <c r="AA8" s="516">
        <v>818</v>
      </c>
      <c r="AB8" s="167">
        <v>3805</v>
      </c>
      <c r="AC8" s="169">
        <v>2673</v>
      </c>
      <c r="AD8" s="168">
        <v>6166</v>
      </c>
      <c r="AE8" s="169">
        <v>5191</v>
      </c>
      <c r="AF8" s="168">
        <v>7803</v>
      </c>
      <c r="AG8" s="169">
        <v>7647</v>
      </c>
      <c r="AH8" s="168">
        <v>2779</v>
      </c>
      <c r="AI8" s="324">
        <v>2263</v>
      </c>
      <c r="AJ8" s="172">
        <v>4933</v>
      </c>
      <c r="AK8" s="324">
        <f>4542+2432</f>
        <v>6974</v>
      </c>
      <c r="AL8" s="829"/>
      <c r="AM8" s="829"/>
      <c r="AN8" s="826">
        <v>9643</v>
      </c>
      <c r="AO8" s="822">
        <v>9205</v>
      </c>
      <c r="AP8" s="574">
        <v>1729</v>
      </c>
      <c r="AQ8" s="818">
        <v>1411.19</v>
      </c>
      <c r="AR8" s="171">
        <v>2036</v>
      </c>
      <c r="AS8" s="472">
        <v>1580</v>
      </c>
      <c r="AT8" s="172">
        <v>3666</v>
      </c>
      <c r="AU8" s="324">
        <v>3162</v>
      </c>
      <c r="AV8" s="173">
        <f t="shared" si="0"/>
        <v>82395</v>
      </c>
      <c r="AW8" s="473">
        <f t="shared" si="1"/>
        <v>81325.19</v>
      </c>
      <c r="AX8" s="171">
        <v>72035</v>
      </c>
      <c r="AY8" s="472">
        <v>66662</v>
      </c>
      <c r="AZ8" s="173">
        <f t="shared" si="2"/>
        <v>154430</v>
      </c>
      <c r="BA8" s="812">
        <f t="shared" si="3"/>
        <v>147987.19</v>
      </c>
    </row>
    <row r="9" spans="1:53" x14ac:dyDescent="0.3">
      <c r="A9" s="164" t="s">
        <v>78</v>
      </c>
      <c r="B9" s="165">
        <v>2398</v>
      </c>
      <c r="C9" s="166">
        <v>2274</v>
      </c>
      <c r="D9" s="167">
        <v>4</v>
      </c>
      <c r="E9" s="324">
        <v>4</v>
      </c>
      <c r="F9" s="172">
        <v>925</v>
      </c>
      <c r="G9" s="169">
        <v>1273</v>
      </c>
      <c r="H9" s="172">
        <v>1255</v>
      </c>
      <c r="I9" s="169">
        <v>945</v>
      </c>
      <c r="J9" s="167">
        <v>426</v>
      </c>
      <c r="K9" s="324">
        <v>284</v>
      </c>
      <c r="L9" s="172">
        <v>282</v>
      </c>
      <c r="M9" s="169">
        <v>207</v>
      </c>
      <c r="N9" s="167">
        <v>674</v>
      </c>
      <c r="O9" s="169">
        <v>622</v>
      </c>
      <c r="P9" s="168">
        <v>1014</v>
      </c>
      <c r="Q9" s="169">
        <v>915</v>
      </c>
      <c r="R9" s="168"/>
      <c r="S9" s="169">
        <v>175</v>
      </c>
      <c r="T9" s="168">
        <v>1020</v>
      </c>
      <c r="U9" s="324">
        <v>981</v>
      </c>
      <c r="V9" s="172">
        <v>625</v>
      </c>
      <c r="W9" s="169">
        <v>521</v>
      </c>
      <c r="X9" s="167">
        <v>3779</v>
      </c>
      <c r="Y9" s="324">
        <v>3435</v>
      </c>
      <c r="Z9" s="326">
        <v>38</v>
      </c>
      <c r="AA9" s="516">
        <v>50</v>
      </c>
      <c r="AB9" s="167">
        <v>389</v>
      </c>
      <c r="AC9" s="169">
        <v>326</v>
      </c>
      <c r="AD9" s="168">
        <v>1955</v>
      </c>
      <c r="AE9" s="169">
        <v>1878</v>
      </c>
      <c r="AF9" s="168">
        <v>4234</v>
      </c>
      <c r="AG9" s="169">
        <v>3627</v>
      </c>
      <c r="AH9" s="168">
        <v>385</v>
      </c>
      <c r="AI9" s="324">
        <v>299</v>
      </c>
      <c r="AJ9" s="172">
        <v>2625</v>
      </c>
      <c r="AK9" s="324">
        <v>287</v>
      </c>
      <c r="AL9" s="829"/>
      <c r="AM9" s="829"/>
      <c r="AN9" s="826">
        <v>9010</v>
      </c>
      <c r="AO9" s="822">
        <v>8619</v>
      </c>
      <c r="AP9" s="574">
        <v>52</v>
      </c>
      <c r="AQ9" s="818">
        <v>28.25</v>
      </c>
      <c r="AR9" s="171">
        <v>1677</v>
      </c>
      <c r="AS9" s="472">
        <v>1388</v>
      </c>
      <c r="AT9" s="172">
        <v>3079</v>
      </c>
      <c r="AU9" s="324">
        <v>2265</v>
      </c>
      <c r="AV9" s="173">
        <f t="shared" si="0"/>
        <v>35846</v>
      </c>
      <c r="AW9" s="473">
        <f t="shared" si="1"/>
        <v>30403.25</v>
      </c>
      <c r="AX9" s="171">
        <v>14771</v>
      </c>
      <c r="AY9" s="472">
        <v>14060</v>
      </c>
      <c r="AZ9" s="173">
        <f t="shared" si="2"/>
        <v>50617</v>
      </c>
      <c r="BA9" s="812">
        <f t="shared" si="3"/>
        <v>44463.25</v>
      </c>
    </row>
    <row r="10" spans="1:53" x14ac:dyDescent="0.3">
      <c r="A10" s="164" t="s">
        <v>79</v>
      </c>
      <c r="B10" s="165">
        <v>434</v>
      </c>
      <c r="C10" s="166">
        <v>278</v>
      </c>
      <c r="D10" s="167">
        <v>2</v>
      </c>
      <c r="E10" s="324">
        <v>15</v>
      </c>
      <c r="F10" s="172">
        <v>156</v>
      </c>
      <c r="G10" s="169">
        <v>133</v>
      </c>
      <c r="H10" s="816">
        <v>501</v>
      </c>
      <c r="I10" s="169">
        <v>550</v>
      </c>
      <c r="J10" s="167">
        <v>338</v>
      </c>
      <c r="K10" s="324">
        <v>393</v>
      </c>
      <c r="L10" s="172">
        <v>290</v>
      </c>
      <c r="M10" s="169">
        <v>237</v>
      </c>
      <c r="N10" s="167">
        <v>48</v>
      </c>
      <c r="O10" s="169">
        <v>36</v>
      </c>
      <c r="P10" s="168">
        <v>189</v>
      </c>
      <c r="Q10" s="169">
        <v>200</v>
      </c>
      <c r="R10" s="168"/>
      <c r="S10" s="169">
        <v>271</v>
      </c>
      <c r="T10" s="168">
        <v>90</v>
      </c>
      <c r="U10" s="324">
        <v>70</v>
      </c>
      <c r="V10" s="172">
        <v>2090</v>
      </c>
      <c r="W10" s="169">
        <v>1609</v>
      </c>
      <c r="X10" s="167">
        <v>483</v>
      </c>
      <c r="Y10" s="324">
        <v>517</v>
      </c>
      <c r="Z10" s="326">
        <v>222</v>
      </c>
      <c r="AA10" s="516">
        <v>179</v>
      </c>
      <c r="AB10" s="167">
        <v>331</v>
      </c>
      <c r="AC10" s="169">
        <v>257</v>
      </c>
      <c r="AD10" s="359">
        <v>562</v>
      </c>
      <c r="AE10" s="593">
        <v>668</v>
      </c>
      <c r="AF10" s="168">
        <v>931</v>
      </c>
      <c r="AG10" s="169">
        <v>669</v>
      </c>
      <c r="AH10" s="168">
        <v>741</v>
      </c>
      <c r="AI10" s="324">
        <v>461</v>
      </c>
      <c r="AJ10" s="172">
        <v>362</v>
      </c>
      <c r="AK10" s="324">
        <v>303</v>
      </c>
      <c r="AL10" s="829"/>
      <c r="AM10" s="829"/>
      <c r="AN10" s="826">
        <v>1254</v>
      </c>
      <c r="AO10" s="822">
        <v>1246</v>
      </c>
      <c r="AP10" s="574">
        <v>374</v>
      </c>
      <c r="AQ10" s="818">
        <v>308.45</v>
      </c>
      <c r="AR10" s="171">
        <v>316</v>
      </c>
      <c r="AS10" s="472">
        <v>173</v>
      </c>
      <c r="AT10" s="172">
        <v>841</v>
      </c>
      <c r="AU10" s="324">
        <v>485</v>
      </c>
      <c r="AV10" s="165">
        <f t="shared" si="0"/>
        <v>10555</v>
      </c>
      <c r="AW10" s="577">
        <f t="shared" si="1"/>
        <v>9058.4500000000007</v>
      </c>
      <c r="AX10" s="172">
        <v>20257</v>
      </c>
      <c r="AY10" s="324">
        <v>14118</v>
      </c>
      <c r="AZ10" s="165">
        <f t="shared" si="2"/>
        <v>30812</v>
      </c>
      <c r="BA10" s="578">
        <f t="shared" si="3"/>
        <v>23176.45</v>
      </c>
    </row>
    <row r="11" spans="1:53" x14ac:dyDescent="0.3">
      <c r="A11" s="164" t="s">
        <v>80</v>
      </c>
      <c r="B11" s="165">
        <v>1018</v>
      </c>
      <c r="C11" s="166">
        <v>826</v>
      </c>
      <c r="D11" s="167">
        <v>152</v>
      </c>
      <c r="E11" s="324">
        <v>224</v>
      </c>
      <c r="F11" s="172">
        <v>487</v>
      </c>
      <c r="G11" s="169">
        <v>425</v>
      </c>
      <c r="H11" s="172">
        <v>4659</v>
      </c>
      <c r="I11" s="169">
        <v>5211</v>
      </c>
      <c r="J11" s="167">
        <v>579</v>
      </c>
      <c r="K11" s="324">
        <v>270</v>
      </c>
      <c r="L11" s="172">
        <v>5665</v>
      </c>
      <c r="M11" s="169">
        <v>3132</v>
      </c>
      <c r="N11" s="167">
        <v>366</v>
      </c>
      <c r="O11" s="169">
        <v>239</v>
      </c>
      <c r="P11" s="168">
        <v>304</v>
      </c>
      <c r="Q11" s="169">
        <v>323</v>
      </c>
      <c r="R11" s="168"/>
      <c r="S11" s="169">
        <v>497</v>
      </c>
      <c r="T11" s="168">
        <v>356</v>
      </c>
      <c r="U11" s="324">
        <v>400</v>
      </c>
      <c r="V11" s="172">
        <v>3762</v>
      </c>
      <c r="W11" s="169">
        <v>2245</v>
      </c>
      <c r="X11" s="167">
        <v>14466</v>
      </c>
      <c r="Y11" s="324">
        <v>11986</v>
      </c>
      <c r="Z11" s="172">
        <v>360</v>
      </c>
      <c r="AA11" s="169">
        <v>381</v>
      </c>
      <c r="AB11" s="167">
        <v>996</v>
      </c>
      <c r="AC11" s="169">
        <v>1127</v>
      </c>
      <c r="AD11" s="168">
        <v>1173</v>
      </c>
      <c r="AE11" s="169">
        <v>1177</v>
      </c>
      <c r="AF11" s="168">
        <v>5885</v>
      </c>
      <c r="AG11" s="169">
        <v>6226</v>
      </c>
      <c r="AH11" s="168">
        <v>1145</v>
      </c>
      <c r="AI11" s="324">
        <v>1257</v>
      </c>
      <c r="AJ11" s="172">
        <v>278</v>
      </c>
      <c r="AK11" s="324">
        <v>855</v>
      </c>
      <c r="AL11" s="829"/>
      <c r="AM11" s="829"/>
      <c r="AN11" s="826">
        <v>6177</v>
      </c>
      <c r="AO11" s="822">
        <v>6063</v>
      </c>
      <c r="AP11" s="574">
        <v>623</v>
      </c>
      <c r="AQ11" s="818">
        <v>654.29999999999995</v>
      </c>
      <c r="AR11" s="171">
        <v>460</v>
      </c>
      <c r="AS11" s="472">
        <v>342</v>
      </c>
      <c r="AT11" s="172">
        <v>16970</v>
      </c>
      <c r="AU11" s="324">
        <v>2286</v>
      </c>
      <c r="AV11" s="173">
        <f t="shared" si="0"/>
        <v>65881</v>
      </c>
      <c r="AW11" s="473">
        <f t="shared" si="1"/>
        <v>46146.3</v>
      </c>
      <c r="AX11" s="171">
        <v>29719</v>
      </c>
      <c r="AY11" s="472">
        <v>26962</v>
      </c>
      <c r="AZ11" s="173">
        <f t="shared" si="2"/>
        <v>95600</v>
      </c>
      <c r="BA11" s="812">
        <f t="shared" si="3"/>
        <v>73108.3</v>
      </c>
    </row>
    <row r="12" spans="1:53" x14ac:dyDescent="0.3">
      <c r="A12" s="164" t="s">
        <v>81</v>
      </c>
      <c r="B12" s="165">
        <v>1579</v>
      </c>
      <c r="C12" s="166">
        <v>867</v>
      </c>
      <c r="D12" s="167">
        <v>192</v>
      </c>
      <c r="E12" s="324">
        <v>331</v>
      </c>
      <c r="F12" s="172">
        <v>319</v>
      </c>
      <c r="G12" s="169">
        <v>628</v>
      </c>
      <c r="H12" s="172">
        <v>15727</v>
      </c>
      <c r="I12" s="169">
        <v>9599</v>
      </c>
      <c r="J12" s="167">
        <v>3441</v>
      </c>
      <c r="K12" s="324">
        <v>3827</v>
      </c>
      <c r="L12" s="172">
        <v>2051</v>
      </c>
      <c r="M12" s="169">
        <v>2072</v>
      </c>
      <c r="N12" s="167">
        <v>1006</v>
      </c>
      <c r="O12" s="169">
        <v>1020</v>
      </c>
      <c r="P12" s="168">
        <v>2077</v>
      </c>
      <c r="Q12" s="169">
        <v>1171</v>
      </c>
      <c r="R12" s="168"/>
      <c r="S12" s="169">
        <v>8751</v>
      </c>
      <c r="T12" s="168">
        <v>1127</v>
      </c>
      <c r="U12" s="324">
        <v>878</v>
      </c>
      <c r="V12" s="172">
        <v>26385</v>
      </c>
      <c r="W12" s="169">
        <v>18961</v>
      </c>
      <c r="X12" s="167">
        <v>38794</v>
      </c>
      <c r="Y12" s="324">
        <v>29937</v>
      </c>
      <c r="Z12" s="172">
        <v>2693</v>
      </c>
      <c r="AA12" s="169">
        <v>3050</v>
      </c>
      <c r="AB12" s="167">
        <v>2268</v>
      </c>
      <c r="AC12" s="169">
        <v>1247</v>
      </c>
      <c r="AD12" s="168">
        <v>2265</v>
      </c>
      <c r="AE12" s="169">
        <v>2788</v>
      </c>
      <c r="AF12" s="168">
        <v>6665</v>
      </c>
      <c r="AG12" s="169">
        <v>3456</v>
      </c>
      <c r="AH12" s="168">
        <v>2034</v>
      </c>
      <c r="AI12" s="324">
        <v>1612</v>
      </c>
      <c r="AJ12" s="172">
        <v>711</v>
      </c>
      <c r="AK12" s="324">
        <v>1998</v>
      </c>
      <c r="AL12" s="829"/>
      <c r="AM12" s="829"/>
      <c r="AN12" s="826">
        <v>14814</v>
      </c>
      <c r="AO12" s="822">
        <v>12676</v>
      </c>
      <c r="AP12" s="574">
        <v>1797</v>
      </c>
      <c r="AQ12" s="818">
        <v>2460.5</v>
      </c>
      <c r="AR12" s="171">
        <v>1450</v>
      </c>
      <c r="AS12" s="472">
        <v>940</v>
      </c>
      <c r="AT12" s="172">
        <v>63893</v>
      </c>
      <c r="AU12" s="324">
        <v>39633</v>
      </c>
      <c r="AV12" s="173">
        <f t="shared" si="0"/>
        <v>191288</v>
      </c>
      <c r="AW12" s="473">
        <f t="shared" si="1"/>
        <v>147902.5</v>
      </c>
      <c r="AX12" s="171">
        <v>4378</v>
      </c>
      <c r="AY12" s="472">
        <v>2953</v>
      </c>
      <c r="AZ12" s="173">
        <f t="shared" si="2"/>
        <v>195666</v>
      </c>
      <c r="BA12" s="812">
        <f t="shared" si="3"/>
        <v>150855.5</v>
      </c>
    </row>
    <row r="13" spans="1:53" x14ac:dyDescent="0.3">
      <c r="A13" s="164" t="s">
        <v>82</v>
      </c>
      <c r="B13" s="165">
        <v>1147</v>
      </c>
      <c r="C13" s="166">
        <v>1522</v>
      </c>
      <c r="D13" s="167">
        <v>43</v>
      </c>
      <c r="E13" s="324">
        <v>298</v>
      </c>
      <c r="F13" s="172">
        <v>73</v>
      </c>
      <c r="G13" s="169">
        <v>64</v>
      </c>
      <c r="H13" s="172">
        <v>2042</v>
      </c>
      <c r="I13" s="169">
        <v>1790</v>
      </c>
      <c r="J13" s="167">
        <v>317</v>
      </c>
      <c r="K13" s="324">
        <v>529</v>
      </c>
      <c r="L13" s="172">
        <v>398</v>
      </c>
      <c r="M13" s="169">
        <v>498</v>
      </c>
      <c r="N13" s="167">
        <v>122</v>
      </c>
      <c r="O13" s="169">
        <v>84</v>
      </c>
      <c r="P13" s="168">
        <v>189</v>
      </c>
      <c r="Q13" s="169">
        <v>250</v>
      </c>
      <c r="R13" s="168"/>
      <c r="S13" s="169">
        <v>375</v>
      </c>
      <c r="T13" s="168">
        <v>81</v>
      </c>
      <c r="U13" s="324">
        <v>100</v>
      </c>
      <c r="V13" s="172">
        <v>2592</v>
      </c>
      <c r="W13" s="169">
        <v>2409</v>
      </c>
      <c r="X13" s="167">
        <v>2949</v>
      </c>
      <c r="Y13" s="324">
        <v>3690</v>
      </c>
      <c r="Z13" s="172">
        <v>101</v>
      </c>
      <c r="AA13" s="169">
        <v>99</v>
      </c>
      <c r="AB13" s="167">
        <v>714</v>
      </c>
      <c r="AC13" s="169">
        <v>509</v>
      </c>
      <c r="AD13" s="168">
        <v>1003</v>
      </c>
      <c r="AE13" s="169">
        <v>1124</v>
      </c>
      <c r="AF13" s="168">
        <v>5743</v>
      </c>
      <c r="AG13" s="169">
        <v>5648</v>
      </c>
      <c r="AH13" s="168">
        <v>1423</v>
      </c>
      <c r="AI13" s="324">
        <v>1082</v>
      </c>
      <c r="AJ13" s="172">
        <v>2463</v>
      </c>
      <c r="AK13" s="324">
        <v>144</v>
      </c>
      <c r="AL13" s="829"/>
      <c r="AM13" s="829"/>
      <c r="AN13" s="826">
        <v>5696</v>
      </c>
      <c r="AO13" s="822">
        <v>5343</v>
      </c>
      <c r="AP13" s="574">
        <v>108</v>
      </c>
      <c r="AQ13" s="818">
        <v>66.760000000000005</v>
      </c>
      <c r="AR13" s="171">
        <v>222</v>
      </c>
      <c r="AS13" s="472">
        <v>198</v>
      </c>
      <c r="AT13" s="172">
        <v>3277</v>
      </c>
      <c r="AU13" s="324">
        <v>3501</v>
      </c>
      <c r="AV13" s="173">
        <f t="shared" si="0"/>
        <v>30703</v>
      </c>
      <c r="AW13" s="473">
        <f t="shared" si="1"/>
        <v>29323.759999999998</v>
      </c>
      <c r="AX13" s="171">
        <v>6895</v>
      </c>
      <c r="AY13" s="472">
        <v>7500</v>
      </c>
      <c r="AZ13" s="173">
        <f t="shared" si="2"/>
        <v>37598</v>
      </c>
      <c r="BA13" s="812">
        <f t="shared" si="3"/>
        <v>36823.759999999995</v>
      </c>
    </row>
    <row r="14" spans="1:53" x14ac:dyDescent="0.3">
      <c r="A14" s="164" t="s">
        <v>83</v>
      </c>
      <c r="B14" s="165"/>
      <c r="C14" s="166"/>
      <c r="D14" s="167"/>
      <c r="E14" s="324"/>
      <c r="F14" s="172"/>
      <c r="G14" s="169"/>
      <c r="H14" s="172"/>
      <c r="I14" s="169"/>
      <c r="J14" s="167"/>
      <c r="K14" s="324"/>
      <c r="L14" s="172"/>
      <c r="M14" s="169"/>
      <c r="N14" s="167"/>
      <c r="O14" s="169"/>
      <c r="P14" s="168"/>
      <c r="Q14" s="169"/>
      <c r="R14" s="168"/>
      <c r="S14" s="169"/>
      <c r="T14" s="168"/>
      <c r="U14" s="324"/>
      <c r="V14" s="172"/>
      <c r="W14" s="169"/>
      <c r="X14" s="167"/>
      <c r="Y14" s="324"/>
      <c r="Z14" s="172"/>
      <c r="AA14" s="169"/>
      <c r="AB14" s="167"/>
      <c r="AC14" s="169"/>
      <c r="AD14" s="168"/>
      <c r="AE14" s="169"/>
      <c r="AF14" s="168"/>
      <c r="AG14" s="169"/>
      <c r="AH14" s="168"/>
      <c r="AI14" s="324"/>
      <c r="AJ14" s="172">
        <v>132</v>
      </c>
      <c r="AK14" s="324"/>
      <c r="AL14" s="829"/>
      <c r="AM14" s="829"/>
      <c r="AN14" s="172"/>
      <c r="AO14" s="324"/>
      <c r="AP14" s="574"/>
      <c r="AQ14" s="818"/>
      <c r="AR14" s="171"/>
      <c r="AS14" s="472"/>
      <c r="AT14" s="172"/>
      <c r="AU14" s="324"/>
      <c r="AV14" s="173">
        <f t="shared" si="0"/>
        <v>132</v>
      </c>
      <c r="AW14" s="473">
        <f t="shared" si="1"/>
        <v>0</v>
      </c>
      <c r="AX14" s="171"/>
      <c r="AY14" s="472"/>
      <c r="AZ14" s="173">
        <f t="shared" si="2"/>
        <v>132</v>
      </c>
      <c r="BA14" s="812">
        <f t="shared" si="3"/>
        <v>0</v>
      </c>
    </row>
    <row r="15" spans="1:53" x14ac:dyDescent="0.3">
      <c r="A15" s="164" t="s">
        <v>84</v>
      </c>
      <c r="B15" s="165">
        <v>130</v>
      </c>
      <c r="C15" s="166">
        <v>119</v>
      </c>
      <c r="D15" s="167">
        <v>39</v>
      </c>
      <c r="E15" s="324">
        <v>38</v>
      </c>
      <c r="F15" s="172">
        <v>62</v>
      </c>
      <c r="G15" s="169">
        <v>81</v>
      </c>
      <c r="H15" s="172">
        <v>106</v>
      </c>
      <c r="I15" s="169">
        <v>106</v>
      </c>
      <c r="J15" s="167">
        <v>74</v>
      </c>
      <c r="K15" s="324">
        <v>69</v>
      </c>
      <c r="L15" s="172">
        <v>42</v>
      </c>
      <c r="M15" s="169">
        <v>42</v>
      </c>
      <c r="N15" s="167">
        <v>35</v>
      </c>
      <c r="O15" s="169">
        <v>35</v>
      </c>
      <c r="P15" s="168">
        <v>35</v>
      </c>
      <c r="Q15" s="169">
        <v>35</v>
      </c>
      <c r="R15" s="168"/>
      <c r="S15" s="169">
        <v>66</v>
      </c>
      <c r="T15" s="168">
        <v>42</v>
      </c>
      <c r="U15" s="324">
        <v>45</v>
      </c>
      <c r="V15" s="172">
        <v>91</v>
      </c>
      <c r="W15" s="169">
        <v>114</v>
      </c>
      <c r="X15" s="167">
        <v>261</v>
      </c>
      <c r="Y15" s="324">
        <v>231</v>
      </c>
      <c r="Z15" s="326">
        <v>46</v>
      </c>
      <c r="AA15" s="516">
        <v>41</v>
      </c>
      <c r="AB15" s="167">
        <v>33</v>
      </c>
      <c r="AC15" s="169">
        <v>34</v>
      </c>
      <c r="AD15" s="359">
        <v>87</v>
      </c>
      <c r="AE15" s="593">
        <v>78</v>
      </c>
      <c r="AF15" s="168">
        <v>98</v>
      </c>
      <c r="AG15" s="169">
        <v>98</v>
      </c>
      <c r="AH15" s="168">
        <v>81</v>
      </c>
      <c r="AI15" s="324">
        <v>77</v>
      </c>
      <c r="AJ15" s="172">
        <v>77</v>
      </c>
      <c r="AK15" s="324">
        <v>77</v>
      </c>
      <c r="AL15" s="829"/>
      <c r="AM15" s="829"/>
      <c r="AN15" s="826">
        <v>73</v>
      </c>
      <c r="AO15" s="822">
        <v>73</v>
      </c>
      <c r="AP15" s="574">
        <v>19</v>
      </c>
      <c r="AQ15" s="818">
        <v>16</v>
      </c>
      <c r="AR15" s="171">
        <v>51</v>
      </c>
      <c r="AS15" s="472">
        <v>49</v>
      </c>
      <c r="AT15" s="172">
        <v>80</v>
      </c>
      <c r="AU15" s="324">
        <v>80</v>
      </c>
      <c r="AV15" s="165">
        <f t="shared" si="0"/>
        <v>1562</v>
      </c>
      <c r="AW15" s="577">
        <f t="shared" si="1"/>
        <v>1604</v>
      </c>
      <c r="AX15" s="172">
        <v>1231</v>
      </c>
      <c r="AY15" s="324">
        <v>781</v>
      </c>
      <c r="AZ15" s="165">
        <f t="shared" si="2"/>
        <v>2793</v>
      </c>
      <c r="BA15" s="578">
        <f t="shared" si="3"/>
        <v>2385</v>
      </c>
    </row>
    <row r="16" spans="1:53" x14ac:dyDescent="0.3">
      <c r="A16" s="164" t="s">
        <v>85</v>
      </c>
      <c r="B16" s="165"/>
      <c r="C16" s="166"/>
      <c r="D16" s="167"/>
      <c r="E16" s="324">
        <v>1</v>
      </c>
      <c r="F16" s="172"/>
      <c r="G16" s="169"/>
      <c r="H16" s="172"/>
      <c r="I16" s="169"/>
      <c r="J16" s="167"/>
      <c r="K16" s="324"/>
      <c r="L16" s="172"/>
      <c r="M16" s="169"/>
      <c r="N16" s="167"/>
      <c r="O16" s="169"/>
      <c r="P16" s="168"/>
      <c r="Q16" s="169"/>
      <c r="R16" s="168"/>
      <c r="S16" s="169"/>
      <c r="T16" s="168"/>
      <c r="U16" s="324"/>
      <c r="V16" s="172"/>
      <c r="W16" s="169"/>
      <c r="X16" s="167"/>
      <c r="Y16" s="324"/>
      <c r="Z16" s="326"/>
      <c r="AA16" s="516"/>
      <c r="AB16" s="167"/>
      <c r="AC16" s="169"/>
      <c r="AD16" s="168"/>
      <c r="AE16" s="169"/>
      <c r="AF16" s="168"/>
      <c r="AG16" s="169"/>
      <c r="AH16" s="168"/>
      <c r="AI16" s="324"/>
      <c r="AJ16" s="172"/>
      <c r="AK16" s="324"/>
      <c r="AL16" s="829"/>
      <c r="AM16" s="829"/>
      <c r="AN16" s="826"/>
      <c r="AO16" s="822"/>
      <c r="AP16" s="574"/>
      <c r="AQ16" s="818"/>
      <c r="AR16" s="171"/>
      <c r="AS16" s="472"/>
      <c r="AT16" s="172"/>
      <c r="AU16" s="324"/>
      <c r="AV16" s="173">
        <f t="shared" si="0"/>
        <v>0</v>
      </c>
      <c r="AW16" s="473">
        <f t="shared" si="1"/>
        <v>1</v>
      </c>
      <c r="AX16" s="172"/>
      <c r="AY16" s="324"/>
      <c r="AZ16" s="173">
        <f t="shared" si="2"/>
        <v>0</v>
      </c>
      <c r="BA16" s="812">
        <f t="shared" si="3"/>
        <v>1</v>
      </c>
    </row>
    <row r="17" spans="1:53" x14ac:dyDescent="0.3">
      <c r="A17" s="164" t="s">
        <v>86</v>
      </c>
      <c r="B17" s="165"/>
      <c r="C17" s="166"/>
      <c r="D17" s="167"/>
      <c r="E17" s="324"/>
      <c r="F17" s="172"/>
      <c r="G17" s="169"/>
      <c r="H17" s="172">
        <v>5</v>
      </c>
      <c r="I17" s="169">
        <v>5</v>
      </c>
      <c r="J17" s="167">
        <v>12</v>
      </c>
      <c r="K17" s="324">
        <v>5</v>
      </c>
      <c r="L17" s="172">
        <v>3</v>
      </c>
      <c r="M17" s="169">
        <v>4</v>
      </c>
      <c r="N17" s="167">
        <v>4</v>
      </c>
      <c r="O17" s="169">
        <v>4</v>
      </c>
      <c r="P17" s="168"/>
      <c r="Q17" s="169"/>
      <c r="R17" s="168"/>
      <c r="S17" s="169">
        <v>2</v>
      </c>
      <c r="T17" s="168"/>
      <c r="U17" s="324"/>
      <c r="V17" s="172"/>
      <c r="W17" s="169">
        <v>1</v>
      </c>
      <c r="X17" s="167"/>
      <c r="Y17" s="324"/>
      <c r="Z17" s="326"/>
      <c r="AA17" s="516"/>
      <c r="AB17" s="167"/>
      <c r="AC17" s="169"/>
      <c r="AD17" s="168"/>
      <c r="AE17" s="169"/>
      <c r="AF17" s="168">
        <v>3</v>
      </c>
      <c r="AG17" s="169">
        <v>3</v>
      </c>
      <c r="AH17" s="168"/>
      <c r="AI17" s="324"/>
      <c r="AJ17" s="172"/>
      <c r="AK17" s="324"/>
      <c r="AL17" s="829"/>
      <c r="AM17" s="829"/>
      <c r="AN17" s="172"/>
      <c r="AO17" s="324"/>
      <c r="AP17" s="574">
        <v>1</v>
      </c>
      <c r="AQ17" s="818">
        <v>1</v>
      </c>
      <c r="AR17" s="171"/>
      <c r="AS17" s="472"/>
      <c r="AT17" s="172"/>
      <c r="AU17" s="324"/>
      <c r="AV17" s="173">
        <f t="shared" si="0"/>
        <v>28</v>
      </c>
      <c r="AW17" s="473">
        <f t="shared" si="1"/>
        <v>25</v>
      </c>
      <c r="AX17" s="172"/>
      <c r="AY17" s="324">
        <v>1.62</v>
      </c>
      <c r="AZ17" s="173">
        <f t="shared" si="2"/>
        <v>28</v>
      </c>
      <c r="BA17" s="812">
        <f t="shared" si="3"/>
        <v>26.62</v>
      </c>
    </row>
    <row r="18" spans="1:53" x14ac:dyDescent="0.3">
      <c r="A18" s="164" t="s">
        <v>87</v>
      </c>
      <c r="B18" s="165"/>
      <c r="C18" s="166"/>
      <c r="D18" s="167"/>
      <c r="E18" s="324"/>
      <c r="F18" s="172"/>
      <c r="G18" s="169"/>
      <c r="H18" s="172"/>
      <c r="I18" s="169"/>
      <c r="J18" s="167"/>
      <c r="K18" s="324"/>
      <c r="L18" s="172"/>
      <c r="M18" s="169"/>
      <c r="N18" s="167"/>
      <c r="O18" s="169"/>
      <c r="P18" s="168"/>
      <c r="Q18" s="169"/>
      <c r="R18" s="168"/>
      <c r="S18" s="169"/>
      <c r="T18" s="168"/>
      <c r="U18" s="324"/>
      <c r="V18" s="172"/>
      <c r="W18" s="169"/>
      <c r="X18" s="167"/>
      <c r="Y18" s="324"/>
      <c r="Z18" s="326"/>
      <c r="AA18" s="516"/>
      <c r="AB18" s="167"/>
      <c r="AC18" s="169"/>
      <c r="AD18" s="168"/>
      <c r="AE18" s="169"/>
      <c r="AF18" s="168"/>
      <c r="AG18" s="169"/>
      <c r="AH18" s="168"/>
      <c r="AI18" s="324"/>
      <c r="AJ18" s="172"/>
      <c r="AK18" s="324"/>
      <c r="AL18" s="829"/>
      <c r="AM18" s="829"/>
      <c r="AN18" s="826"/>
      <c r="AO18" s="822"/>
      <c r="AP18" s="574"/>
      <c r="AQ18" s="818"/>
      <c r="AR18" s="171"/>
      <c r="AS18" s="472"/>
      <c r="AT18" s="172"/>
      <c r="AU18" s="324"/>
      <c r="AV18" s="173">
        <f t="shared" si="0"/>
        <v>0</v>
      </c>
      <c r="AW18" s="473">
        <f t="shared" si="1"/>
        <v>0</v>
      </c>
      <c r="AX18" s="172"/>
      <c r="AY18" s="324"/>
      <c r="AZ18" s="173">
        <f t="shared" si="2"/>
        <v>0</v>
      </c>
      <c r="BA18" s="812">
        <f t="shared" si="3"/>
        <v>0</v>
      </c>
    </row>
    <row r="19" spans="1:53" x14ac:dyDescent="0.3">
      <c r="A19" s="164" t="s">
        <v>88</v>
      </c>
      <c r="B19" s="165">
        <v>12</v>
      </c>
      <c r="C19" s="166">
        <v>9</v>
      </c>
      <c r="D19" s="167"/>
      <c r="E19" s="324"/>
      <c r="F19" s="172"/>
      <c r="G19" s="169"/>
      <c r="H19" s="172"/>
      <c r="I19" s="169"/>
      <c r="J19" s="167"/>
      <c r="K19" s="324"/>
      <c r="L19" s="172"/>
      <c r="M19" s="169"/>
      <c r="N19" s="167"/>
      <c r="O19" s="169"/>
      <c r="P19" s="168"/>
      <c r="Q19" s="169"/>
      <c r="R19" s="168"/>
      <c r="S19" s="169"/>
      <c r="T19" s="168"/>
      <c r="U19" s="324"/>
      <c r="V19" s="172"/>
      <c r="W19" s="169"/>
      <c r="X19" s="167"/>
      <c r="Y19" s="324"/>
      <c r="Z19" s="326"/>
      <c r="AA19" s="516"/>
      <c r="AB19" s="167"/>
      <c r="AC19" s="169"/>
      <c r="AD19" s="168"/>
      <c r="AE19" s="169"/>
      <c r="AF19" s="168"/>
      <c r="AG19" s="169"/>
      <c r="AH19" s="168"/>
      <c r="AI19" s="324"/>
      <c r="AJ19" s="172"/>
      <c r="AK19" s="324"/>
      <c r="AL19" s="829"/>
      <c r="AM19" s="829"/>
      <c r="AN19" s="827"/>
      <c r="AO19" s="592"/>
      <c r="AP19" s="574"/>
      <c r="AQ19" s="818"/>
      <c r="AR19" s="171"/>
      <c r="AS19" s="472"/>
      <c r="AT19" s="172"/>
      <c r="AU19" s="324"/>
      <c r="AV19" s="173">
        <f t="shared" si="0"/>
        <v>12</v>
      </c>
      <c r="AW19" s="473">
        <f t="shared" si="1"/>
        <v>9</v>
      </c>
      <c r="AX19" s="172"/>
      <c r="AY19" s="324"/>
      <c r="AZ19" s="173">
        <f t="shared" si="2"/>
        <v>12</v>
      </c>
      <c r="BA19" s="812">
        <f t="shared" si="3"/>
        <v>9</v>
      </c>
    </row>
    <row r="20" spans="1:53" x14ac:dyDescent="0.3">
      <c r="A20" s="164" t="s">
        <v>89</v>
      </c>
      <c r="B20" s="165"/>
      <c r="C20" s="166"/>
      <c r="D20" s="167">
        <v>1</v>
      </c>
      <c r="E20" s="324">
        <v>1</v>
      </c>
      <c r="F20" s="172">
        <v>9</v>
      </c>
      <c r="G20" s="169">
        <v>7</v>
      </c>
      <c r="H20" s="172">
        <v>14</v>
      </c>
      <c r="I20" s="169">
        <v>23</v>
      </c>
      <c r="J20" s="167"/>
      <c r="K20" s="324"/>
      <c r="L20" s="172">
        <v>13</v>
      </c>
      <c r="M20" s="169">
        <v>13</v>
      </c>
      <c r="N20" s="167">
        <v>51</v>
      </c>
      <c r="O20" s="169">
        <v>19</v>
      </c>
      <c r="P20" s="168">
        <v>6</v>
      </c>
      <c r="Q20" s="169">
        <v>5</v>
      </c>
      <c r="R20" s="168"/>
      <c r="S20" s="169">
        <v>21</v>
      </c>
      <c r="T20" s="168">
        <v>2</v>
      </c>
      <c r="U20" s="324">
        <v>1</v>
      </c>
      <c r="V20" s="172">
        <v>106</v>
      </c>
      <c r="W20" s="169">
        <v>24</v>
      </c>
      <c r="X20" s="167"/>
      <c r="Y20" s="324"/>
      <c r="Z20" s="326">
        <v>3</v>
      </c>
      <c r="AA20" s="516">
        <v>2</v>
      </c>
      <c r="AB20" s="167">
        <v>4</v>
      </c>
      <c r="AC20" s="169">
        <v>8</v>
      </c>
      <c r="AD20" s="359">
        <v>14</v>
      </c>
      <c r="AE20" s="593">
        <v>12</v>
      </c>
      <c r="AF20" s="168">
        <v>65</v>
      </c>
      <c r="AG20" s="169">
        <v>62</v>
      </c>
      <c r="AH20" s="174">
        <v>1</v>
      </c>
      <c r="AI20" s="324">
        <v>3</v>
      </c>
      <c r="AJ20" s="172">
        <v>23</v>
      </c>
      <c r="AK20" s="324">
        <v>22</v>
      </c>
      <c r="AL20" s="829"/>
      <c r="AM20" s="829"/>
      <c r="AN20" s="826">
        <v>23</v>
      </c>
      <c r="AO20" s="822">
        <v>21</v>
      </c>
      <c r="AP20" s="574"/>
      <c r="AQ20" s="818"/>
      <c r="AR20" s="171"/>
      <c r="AS20" s="472"/>
      <c r="AT20" s="172">
        <v>3</v>
      </c>
      <c r="AU20" s="324">
        <v>5</v>
      </c>
      <c r="AV20" s="165">
        <f t="shared" si="0"/>
        <v>338</v>
      </c>
      <c r="AW20" s="577">
        <f t="shared" si="1"/>
        <v>249</v>
      </c>
      <c r="AX20" s="172">
        <v>4</v>
      </c>
      <c r="AY20" s="324"/>
      <c r="AZ20" s="165">
        <f t="shared" si="2"/>
        <v>342</v>
      </c>
      <c r="BA20" s="578">
        <f t="shared" si="3"/>
        <v>249</v>
      </c>
    </row>
    <row r="21" spans="1:53" ht="17.25" x14ac:dyDescent="0.35">
      <c r="A21" s="164" t="s">
        <v>90</v>
      </c>
      <c r="B21" s="165"/>
      <c r="C21" s="166"/>
      <c r="D21" s="167"/>
      <c r="E21" s="324"/>
      <c r="F21" s="172"/>
      <c r="G21" s="169"/>
      <c r="H21" s="172">
        <v>4</v>
      </c>
      <c r="I21" s="169">
        <v>2</v>
      </c>
      <c r="J21" s="167"/>
      <c r="K21" s="324"/>
      <c r="L21" s="172"/>
      <c r="M21" s="169"/>
      <c r="N21" s="167">
        <v>5</v>
      </c>
      <c r="O21" s="169">
        <v>3</v>
      </c>
      <c r="P21" s="168">
        <v>2</v>
      </c>
      <c r="Q21" s="169">
        <v>2</v>
      </c>
      <c r="R21" s="168"/>
      <c r="S21" s="169">
        <v>3</v>
      </c>
      <c r="T21" s="168"/>
      <c r="U21" s="324"/>
      <c r="V21" s="172"/>
      <c r="W21" s="169"/>
      <c r="X21" s="167"/>
      <c r="Y21" s="324"/>
      <c r="Z21" s="326"/>
      <c r="AA21" s="516"/>
      <c r="AB21" s="167"/>
      <c r="AC21" s="169"/>
      <c r="AD21" s="168"/>
      <c r="AE21" s="169"/>
      <c r="AF21" s="168">
        <v>12</v>
      </c>
      <c r="AG21" s="169">
        <v>16</v>
      </c>
      <c r="AH21" s="175"/>
      <c r="AI21" s="324"/>
      <c r="AJ21" s="172"/>
      <c r="AK21" s="324"/>
      <c r="AL21" s="829"/>
      <c r="AM21" s="829"/>
      <c r="AN21" s="172">
        <v>1</v>
      </c>
      <c r="AO21" s="324"/>
      <c r="AP21" s="574"/>
      <c r="AQ21" s="818"/>
      <c r="AR21" s="171"/>
      <c r="AS21" s="472"/>
      <c r="AT21" s="172">
        <v>1</v>
      </c>
      <c r="AU21" s="324">
        <v>1</v>
      </c>
      <c r="AV21" s="173">
        <f t="shared" si="0"/>
        <v>25</v>
      </c>
      <c r="AW21" s="473">
        <f t="shared" si="1"/>
        <v>27</v>
      </c>
      <c r="AX21" s="171"/>
      <c r="AY21" s="472"/>
      <c r="AZ21" s="173">
        <f t="shared" si="2"/>
        <v>25</v>
      </c>
      <c r="BA21" s="812">
        <f t="shared" si="3"/>
        <v>27</v>
      </c>
    </row>
    <row r="22" spans="1:53" x14ac:dyDescent="0.3">
      <c r="A22" s="164" t="s">
        <v>91</v>
      </c>
      <c r="B22" s="165">
        <v>56032</v>
      </c>
      <c r="C22" s="166">
        <v>37693</v>
      </c>
      <c r="D22" s="167">
        <v>903</v>
      </c>
      <c r="E22" s="324">
        <v>466</v>
      </c>
      <c r="F22" s="172">
        <v>2455</v>
      </c>
      <c r="G22" s="169">
        <v>1811</v>
      </c>
      <c r="H22" s="172">
        <v>50343</v>
      </c>
      <c r="I22" s="169">
        <v>35634</v>
      </c>
      <c r="J22" s="167">
        <v>16455</v>
      </c>
      <c r="K22" s="324">
        <v>18871</v>
      </c>
      <c r="L22" s="172">
        <v>6091</v>
      </c>
      <c r="M22" s="169">
        <v>3483</v>
      </c>
      <c r="N22" s="167">
        <v>1053</v>
      </c>
      <c r="O22" s="169">
        <v>229</v>
      </c>
      <c r="P22" s="168">
        <v>2887</v>
      </c>
      <c r="Q22" s="169">
        <v>5370</v>
      </c>
      <c r="R22" s="168"/>
      <c r="S22" s="169">
        <v>1091</v>
      </c>
      <c r="T22" s="168">
        <v>2809</v>
      </c>
      <c r="U22" s="324">
        <v>1323</v>
      </c>
      <c r="V22" s="172">
        <v>246638</v>
      </c>
      <c r="W22" s="169">
        <v>188386</v>
      </c>
      <c r="X22" s="167">
        <v>174364</v>
      </c>
      <c r="Y22" s="324">
        <v>122641</v>
      </c>
      <c r="Z22" s="326">
        <v>2483</v>
      </c>
      <c r="AA22" s="516">
        <v>2147</v>
      </c>
      <c r="AB22" s="167">
        <v>1033</v>
      </c>
      <c r="AC22" s="169">
        <v>1515</v>
      </c>
      <c r="AD22" s="168">
        <v>21452</v>
      </c>
      <c r="AE22" s="169">
        <v>10102</v>
      </c>
      <c r="AF22" s="168">
        <v>51873</v>
      </c>
      <c r="AG22" s="169">
        <v>58834</v>
      </c>
      <c r="AH22" s="168">
        <v>10723</v>
      </c>
      <c r="AI22" s="324">
        <v>11343</v>
      </c>
      <c r="AJ22" s="172">
        <v>7415</v>
      </c>
      <c r="AK22" s="324">
        <v>6621</v>
      </c>
      <c r="AL22" s="829"/>
      <c r="AM22" s="829"/>
      <c r="AN22" s="826">
        <v>9570</v>
      </c>
      <c r="AO22" s="822">
        <v>9606</v>
      </c>
      <c r="AP22" s="574">
        <v>4</v>
      </c>
      <c r="AQ22" s="818">
        <v>4.45</v>
      </c>
      <c r="AR22" s="171">
        <v>5512</v>
      </c>
      <c r="AS22" s="472">
        <v>2657</v>
      </c>
      <c r="AT22" s="172">
        <v>110252</v>
      </c>
      <c r="AU22" s="324">
        <v>92834</v>
      </c>
      <c r="AV22" s="173">
        <f t="shared" si="0"/>
        <v>780347</v>
      </c>
      <c r="AW22" s="473">
        <f t="shared" si="1"/>
        <v>612661.44999999995</v>
      </c>
      <c r="AX22" s="171">
        <v>70982</v>
      </c>
      <c r="AY22" s="472">
        <v>74514</v>
      </c>
      <c r="AZ22" s="173">
        <f t="shared" si="2"/>
        <v>851329</v>
      </c>
      <c r="BA22" s="812">
        <f t="shared" si="3"/>
        <v>687175.45</v>
      </c>
    </row>
    <row r="23" spans="1:53" x14ac:dyDescent="0.3">
      <c r="A23" s="164" t="s">
        <v>92</v>
      </c>
      <c r="B23" s="165">
        <v>879</v>
      </c>
      <c r="C23" s="166">
        <v>1323</v>
      </c>
      <c r="D23" s="167">
        <v>181</v>
      </c>
      <c r="E23" s="324">
        <v>230</v>
      </c>
      <c r="F23" s="172">
        <v>149</v>
      </c>
      <c r="G23" s="169">
        <v>159</v>
      </c>
      <c r="H23" s="172">
        <v>1114</v>
      </c>
      <c r="I23" s="169">
        <v>868</v>
      </c>
      <c r="J23" s="167">
        <v>514</v>
      </c>
      <c r="K23" s="324">
        <v>379</v>
      </c>
      <c r="L23" s="172">
        <v>789</v>
      </c>
      <c r="M23" s="169">
        <v>741</v>
      </c>
      <c r="N23" s="167">
        <v>183</v>
      </c>
      <c r="O23" s="169">
        <v>175</v>
      </c>
      <c r="P23" s="168">
        <v>316</v>
      </c>
      <c r="Q23" s="169">
        <v>282</v>
      </c>
      <c r="R23" s="168"/>
      <c r="S23" s="169">
        <v>688</v>
      </c>
      <c r="T23" s="168">
        <v>188</v>
      </c>
      <c r="U23" s="324">
        <v>196</v>
      </c>
      <c r="V23" s="172">
        <v>1614</v>
      </c>
      <c r="W23" s="169">
        <v>2304</v>
      </c>
      <c r="X23" s="167">
        <v>3097</v>
      </c>
      <c r="Y23" s="324">
        <v>3172</v>
      </c>
      <c r="Z23" s="326">
        <v>217</v>
      </c>
      <c r="AA23" s="516">
        <v>232</v>
      </c>
      <c r="AB23" s="167">
        <v>296</v>
      </c>
      <c r="AC23" s="169">
        <v>299</v>
      </c>
      <c r="AD23" s="168">
        <v>1317</v>
      </c>
      <c r="AE23" s="169">
        <v>1069</v>
      </c>
      <c r="AF23" s="359">
        <v>2591</v>
      </c>
      <c r="AG23" s="169">
        <v>2183</v>
      </c>
      <c r="AH23" s="168">
        <v>812</v>
      </c>
      <c r="AI23" s="324">
        <v>737</v>
      </c>
      <c r="AJ23" s="172">
        <v>931</v>
      </c>
      <c r="AK23" s="324">
        <v>718</v>
      </c>
      <c r="AL23" s="829"/>
      <c r="AM23" s="829"/>
      <c r="AN23" s="826">
        <v>1008</v>
      </c>
      <c r="AO23" s="822">
        <v>1001</v>
      </c>
      <c r="AP23" s="574">
        <v>359</v>
      </c>
      <c r="AQ23" s="818">
        <v>91</v>
      </c>
      <c r="AR23" s="171">
        <v>52</v>
      </c>
      <c r="AS23" s="472">
        <v>34</v>
      </c>
      <c r="AT23" s="172">
        <v>2632</v>
      </c>
      <c r="AU23" s="324">
        <v>1972</v>
      </c>
      <c r="AV23" s="173">
        <f t="shared" si="0"/>
        <v>19239</v>
      </c>
      <c r="AW23" s="473">
        <f t="shared" si="1"/>
        <v>18853</v>
      </c>
      <c r="AX23" s="171">
        <v>7599</v>
      </c>
      <c r="AY23" s="472">
        <v>8530</v>
      </c>
      <c r="AZ23" s="173">
        <f t="shared" si="2"/>
        <v>26838</v>
      </c>
      <c r="BA23" s="812">
        <f t="shared" si="3"/>
        <v>27383</v>
      </c>
    </row>
    <row r="24" spans="1:53" x14ac:dyDescent="0.3">
      <c r="A24" s="164" t="s">
        <v>93</v>
      </c>
      <c r="B24" s="165">
        <v>89</v>
      </c>
      <c r="C24" s="166">
        <v>750</v>
      </c>
      <c r="D24" s="167"/>
      <c r="E24" s="324"/>
      <c r="F24" s="172"/>
      <c r="G24" s="169"/>
      <c r="H24" s="172"/>
      <c r="I24" s="169"/>
      <c r="J24" s="167">
        <v>3339</v>
      </c>
      <c r="K24" s="324">
        <v>4217</v>
      </c>
      <c r="L24" s="172"/>
      <c r="M24" s="169"/>
      <c r="N24" s="167">
        <v>298</v>
      </c>
      <c r="O24" s="169">
        <v>39</v>
      </c>
      <c r="P24" s="168"/>
      <c r="Q24" s="169"/>
      <c r="R24" s="168"/>
      <c r="S24" s="169"/>
      <c r="T24" s="168"/>
      <c r="U24" s="324"/>
      <c r="V24" s="172"/>
      <c r="W24" s="169"/>
      <c r="X24" s="167"/>
      <c r="Y24" s="324"/>
      <c r="Z24" s="326"/>
      <c r="AA24" s="516"/>
      <c r="AB24" s="167"/>
      <c r="AC24" s="169"/>
      <c r="AD24" s="168">
        <v>1010</v>
      </c>
      <c r="AE24" s="169">
        <v>590</v>
      </c>
      <c r="AF24" s="168">
        <v>5700</v>
      </c>
      <c r="AG24" s="169">
        <v>3282</v>
      </c>
      <c r="AH24" s="168"/>
      <c r="AI24" s="324"/>
      <c r="AJ24" s="172"/>
      <c r="AK24" s="324"/>
      <c r="AL24" s="829"/>
      <c r="AM24" s="829"/>
      <c r="AN24" s="826">
        <v>333</v>
      </c>
      <c r="AO24" s="822">
        <v>212</v>
      </c>
      <c r="AP24" s="574"/>
      <c r="AQ24" s="818"/>
      <c r="AR24" s="171"/>
      <c r="AS24" s="472"/>
      <c r="AT24" s="172"/>
      <c r="AU24" s="324"/>
      <c r="AV24" s="173">
        <f t="shared" si="0"/>
        <v>10769</v>
      </c>
      <c r="AW24" s="473">
        <f t="shared" si="1"/>
        <v>9090</v>
      </c>
      <c r="AX24" s="171"/>
      <c r="AY24" s="472"/>
      <c r="AZ24" s="173">
        <f t="shared" si="2"/>
        <v>10769</v>
      </c>
      <c r="BA24" s="812">
        <f t="shared" si="3"/>
        <v>9090</v>
      </c>
    </row>
    <row r="25" spans="1:53" x14ac:dyDescent="0.3">
      <c r="A25" s="164" t="s">
        <v>94</v>
      </c>
      <c r="B25" s="165">
        <v>9523</v>
      </c>
      <c r="C25" s="166">
        <v>7945</v>
      </c>
      <c r="D25" s="167">
        <v>3803</v>
      </c>
      <c r="E25" s="324">
        <v>3348</v>
      </c>
      <c r="F25" s="172">
        <v>1629</v>
      </c>
      <c r="G25" s="169">
        <v>626</v>
      </c>
      <c r="H25" s="172">
        <v>10329</v>
      </c>
      <c r="I25" s="169">
        <v>9169</v>
      </c>
      <c r="J25" s="167">
        <v>7114</v>
      </c>
      <c r="K25" s="324">
        <v>7472</v>
      </c>
      <c r="L25" s="172">
        <v>6614</v>
      </c>
      <c r="M25" s="169">
        <v>4980</v>
      </c>
      <c r="N25" s="167">
        <v>1810</v>
      </c>
      <c r="O25" s="169">
        <v>1514</v>
      </c>
      <c r="P25" s="168">
        <v>3561</v>
      </c>
      <c r="Q25" s="169">
        <v>2586</v>
      </c>
      <c r="R25" s="168"/>
      <c r="S25" s="169">
        <v>3001</v>
      </c>
      <c r="T25" s="168">
        <v>2291</v>
      </c>
      <c r="U25" s="324">
        <v>1670</v>
      </c>
      <c r="V25" s="172">
        <v>21735</v>
      </c>
      <c r="W25" s="169">
        <v>16501</v>
      </c>
      <c r="X25" s="167">
        <v>15243</v>
      </c>
      <c r="Y25" s="324"/>
      <c r="Z25" s="326">
        <v>3270</v>
      </c>
      <c r="AA25" s="516">
        <v>2033</v>
      </c>
      <c r="AB25" s="167">
        <v>5131</v>
      </c>
      <c r="AC25" s="169">
        <v>5636</v>
      </c>
      <c r="AD25" s="359">
        <v>5007</v>
      </c>
      <c r="AE25" s="593">
        <v>4528</v>
      </c>
      <c r="AF25" s="168">
        <v>10227</v>
      </c>
      <c r="AG25" s="169">
        <v>7908</v>
      </c>
      <c r="AH25" s="168">
        <v>9063</v>
      </c>
      <c r="AI25" s="324">
        <v>7335</v>
      </c>
      <c r="AJ25" s="172">
        <v>3454</v>
      </c>
      <c r="AK25" s="324">
        <v>3229</v>
      </c>
      <c r="AL25" s="829"/>
      <c r="AM25" s="829"/>
      <c r="AN25" s="826">
        <v>12064</v>
      </c>
      <c r="AO25" s="822">
        <v>11902</v>
      </c>
      <c r="AP25" s="574">
        <v>1518</v>
      </c>
      <c r="AQ25" s="818">
        <v>1466</v>
      </c>
      <c r="AR25" s="171">
        <v>2622</v>
      </c>
      <c r="AS25" s="472">
        <v>1941</v>
      </c>
      <c r="AT25" s="172">
        <v>16365</v>
      </c>
      <c r="AU25" s="324">
        <v>9627</v>
      </c>
      <c r="AV25" s="165">
        <f t="shared" si="0"/>
        <v>152373</v>
      </c>
      <c r="AW25" s="577">
        <f t="shared" si="1"/>
        <v>114417</v>
      </c>
      <c r="AX25" s="172"/>
      <c r="AY25" s="324"/>
      <c r="AZ25" s="165">
        <f t="shared" si="2"/>
        <v>152373</v>
      </c>
      <c r="BA25" s="578">
        <f t="shared" si="3"/>
        <v>114417</v>
      </c>
    </row>
    <row r="26" spans="1:53" x14ac:dyDescent="0.3">
      <c r="A26" s="164" t="s">
        <v>95</v>
      </c>
      <c r="B26" s="165">
        <v>341</v>
      </c>
      <c r="C26" s="166"/>
      <c r="D26" s="167">
        <v>6</v>
      </c>
      <c r="E26" s="324">
        <v>14</v>
      </c>
      <c r="F26" s="172">
        <v>111</v>
      </c>
      <c r="G26" s="169">
        <v>132</v>
      </c>
      <c r="H26" s="172">
        <v>4353</v>
      </c>
      <c r="I26" s="169">
        <v>3208</v>
      </c>
      <c r="J26" s="167"/>
      <c r="K26" s="324"/>
      <c r="L26" s="172">
        <v>552</v>
      </c>
      <c r="M26" s="169">
        <v>295</v>
      </c>
      <c r="N26" s="167">
        <v>430</v>
      </c>
      <c r="O26" s="169">
        <v>137</v>
      </c>
      <c r="P26" s="168">
        <v>558</v>
      </c>
      <c r="Q26" s="169">
        <v>277</v>
      </c>
      <c r="R26" s="168"/>
      <c r="S26" s="169">
        <v>802</v>
      </c>
      <c r="T26" s="168">
        <v>13</v>
      </c>
      <c r="U26" s="324">
        <v>15</v>
      </c>
      <c r="V26" s="172">
        <v>2410</v>
      </c>
      <c r="W26" s="169">
        <v>1474</v>
      </c>
      <c r="X26" s="167">
        <v>1344</v>
      </c>
      <c r="Y26" s="324">
        <v>1056</v>
      </c>
      <c r="Z26" s="326"/>
      <c r="AA26" s="516"/>
      <c r="AB26" s="167"/>
      <c r="AC26" s="169"/>
      <c r="AD26" s="168">
        <v>2633</v>
      </c>
      <c r="AE26" s="169">
        <v>1087</v>
      </c>
      <c r="AF26" s="170">
        <v>1424</v>
      </c>
      <c r="AG26" s="169">
        <v>862</v>
      </c>
      <c r="AH26" s="168">
        <v>130</v>
      </c>
      <c r="AI26" s="324">
        <v>467</v>
      </c>
      <c r="AJ26" s="172"/>
      <c r="AK26" s="324"/>
      <c r="AL26" s="829"/>
      <c r="AM26" s="829"/>
      <c r="AN26" s="826">
        <v>2763</v>
      </c>
      <c r="AO26" s="822">
        <v>2288</v>
      </c>
      <c r="AP26" s="574">
        <v>235</v>
      </c>
      <c r="AQ26" s="818">
        <v>115</v>
      </c>
      <c r="AR26" s="171">
        <v>594</v>
      </c>
      <c r="AS26" s="472">
        <v>242</v>
      </c>
      <c r="AT26" s="172"/>
      <c r="AU26" s="324"/>
      <c r="AV26" s="173">
        <f t="shared" si="0"/>
        <v>17897</v>
      </c>
      <c r="AW26" s="473">
        <f t="shared" si="1"/>
        <v>12471</v>
      </c>
      <c r="AX26" s="171">
        <v>241176</v>
      </c>
      <c r="AY26" s="472">
        <v>277432</v>
      </c>
      <c r="AZ26" s="173">
        <f t="shared" si="2"/>
        <v>259073</v>
      </c>
      <c r="BA26" s="812">
        <f t="shared" si="3"/>
        <v>289903</v>
      </c>
    </row>
    <row r="27" spans="1:53" x14ac:dyDescent="0.3">
      <c r="A27" s="164" t="s">
        <v>96</v>
      </c>
      <c r="B27" s="165">
        <v>5440</v>
      </c>
      <c r="C27" s="166">
        <v>2845</v>
      </c>
      <c r="D27" s="167">
        <v>39</v>
      </c>
      <c r="E27" s="324">
        <v>275</v>
      </c>
      <c r="F27" s="172">
        <v>447</v>
      </c>
      <c r="G27" s="169">
        <v>315</v>
      </c>
      <c r="H27" s="172">
        <v>8765</v>
      </c>
      <c r="I27" s="169">
        <v>6362</v>
      </c>
      <c r="J27" s="167">
        <v>479</v>
      </c>
      <c r="K27" s="324">
        <v>426</v>
      </c>
      <c r="L27" s="172">
        <v>2026</v>
      </c>
      <c r="M27" s="169">
        <v>1295</v>
      </c>
      <c r="N27" s="167">
        <v>1164</v>
      </c>
      <c r="O27" s="169">
        <v>605</v>
      </c>
      <c r="P27" s="168">
        <v>286</v>
      </c>
      <c r="Q27" s="169">
        <v>343</v>
      </c>
      <c r="R27" s="168"/>
      <c r="S27" s="169">
        <v>954</v>
      </c>
      <c r="T27" s="168">
        <v>591</v>
      </c>
      <c r="U27" s="324">
        <v>406</v>
      </c>
      <c r="V27" s="172">
        <v>16742</v>
      </c>
      <c r="W27" s="169">
        <v>11449</v>
      </c>
      <c r="X27" s="167">
        <v>15546</v>
      </c>
      <c r="Y27" s="324">
        <v>10666</v>
      </c>
      <c r="Z27" s="326">
        <v>325</v>
      </c>
      <c r="AA27" s="516">
        <v>258</v>
      </c>
      <c r="AB27" s="167">
        <v>1726</v>
      </c>
      <c r="AC27" s="169">
        <v>2412</v>
      </c>
      <c r="AD27" s="168">
        <v>6511</v>
      </c>
      <c r="AE27" s="169">
        <v>4688</v>
      </c>
      <c r="AF27" s="170">
        <v>6398</v>
      </c>
      <c r="AG27" s="169">
        <v>6301</v>
      </c>
      <c r="AH27" s="168">
        <v>3905</v>
      </c>
      <c r="AI27" s="324">
        <v>4302</v>
      </c>
      <c r="AJ27" s="172">
        <v>354</v>
      </c>
      <c r="AK27" s="324">
        <v>346</v>
      </c>
      <c r="AL27" s="829"/>
      <c r="AM27" s="829"/>
      <c r="AN27" s="826">
        <v>13371</v>
      </c>
      <c r="AO27" s="822">
        <v>11953</v>
      </c>
      <c r="AP27" s="574">
        <v>469</v>
      </c>
      <c r="AQ27" s="818">
        <v>681</v>
      </c>
      <c r="AR27" s="171">
        <v>3518</v>
      </c>
      <c r="AS27" s="472">
        <v>1642</v>
      </c>
      <c r="AT27" s="172">
        <v>10168</v>
      </c>
      <c r="AU27" s="324">
        <v>6299</v>
      </c>
      <c r="AV27" s="173">
        <f t="shared" si="0"/>
        <v>98270</v>
      </c>
      <c r="AW27" s="473">
        <f t="shared" si="1"/>
        <v>74823</v>
      </c>
      <c r="AX27" s="171">
        <v>29025</v>
      </c>
      <c r="AY27" s="472">
        <v>29920</v>
      </c>
      <c r="AZ27" s="173">
        <f t="shared" si="2"/>
        <v>127295</v>
      </c>
      <c r="BA27" s="812">
        <f t="shared" si="3"/>
        <v>104743</v>
      </c>
    </row>
    <row r="28" spans="1:53" x14ac:dyDescent="0.3">
      <c r="A28" s="164" t="s">
        <v>97</v>
      </c>
      <c r="B28" s="165">
        <v>4374</v>
      </c>
      <c r="C28" s="166">
        <v>3440</v>
      </c>
      <c r="D28" s="167">
        <v>2742</v>
      </c>
      <c r="E28" s="324">
        <v>3403</v>
      </c>
      <c r="F28" s="172">
        <v>1111</v>
      </c>
      <c r="G28" s="169">
        <v>801</v>
      </c>
      <c r="H28" s="172">
        <v>4344</v>
      </c>
      <c r="I28" s="169">
        <v>4139</v>
      </c>
      <c r="J28" s="167">
        <v>1428</v>
      </c>
      <c r="K28" s="324">
        <v>874</v>
      </c>
      <c r="L28" s="172">
        <v>1900</v>
      </c>
      <c r="M28" s="169">
        <v>1655</v>
      </c>
      <c r="N28" s="167">
        <v>690</v>
      </c>
      <c r="O28" s="169">
        <v>1332</v>
      </c>
      <c r="P28" s="168">
        <v>3366</v>
      </c>
      <c r="Q28" s="169">
        <v>3302</v>
      </c>
      <c r="R28" s="168"/>
      <c r="S28" s="169">
        <v>1487</v>
      </c>
      <c r="T28" s="168">
        <v>1961</v>
      </c>
      <c r="U28" s="324">
        <v>2298</v>
      </c>
      <c r="V28" s="172">
        <v>6866</v>
      </c>
      <c r="W28" s="169">
        <v>5238</v>
      </c>
      <c r="X28" s="167">
        <v>8350</v>
      </c>
      <c r="Y28" s="324">
        <v>6690</v>
      </c>
      <c r="Z28" s="326">
        <v>1190</v>
      </c>
      <c r="AA28" s="516">
        <v>780</v>
      </c>
      <c r="AB28" s="167">
        <v>1432</v>
      </c>
      <c r="AC28" s="169">
        <v>1609.6</v>
      </c>
      <c r="AD28" s="168">
        <v>5072</v>
      </c>
      <c r="AE28" s="169">
        <v>4544</v>
      </c>
      <c r="AF28" s="170">
        <v>9490</v>
      </c>
      <c r="AG28" s="169">
        <v>10392</v>
      </c>
      <c r="AH28" s="168">
        <v>4446</v>
      </c>
      <c r="AI28" s="324">
        <v>4252</v>
      </c>
      <c r="AJ28" s="172">
        <v>3682</v>
      </c>
      <c r="AK28" s="324">
        <v>3524</v>
      </c>
      <c r="AL28" s="829"/>
      <c r="AM28" s="829"/>
      <c r="AN28" s="826">
        <v>6779</v>
      </c>
      <c r="AO28" s="822">
        <v>7476</v>
      </c>
      <c r="AP28" s="574">
        <v>1541</v>
      </c>
      <c r="AQ28" s="818">
        <v>1984.82</v>
      </c>
      <c r="AR28" s="171">
        <v>1723</v>
      </c>
      <c r="AS28" s="472">
        <v>1197</v>
      </c>
      <c r="AT28" s="172">
        <v>4987</v>
      </c>
      <c r="AU28" s="324">
        <v>5743</v>
      </c>
      <c r="AV28" s="173">
        <f t="shared" si="0"/>
        <v>77474</v>
      </c>
      <c r="AW28" s="473">
        <f t="shared" si="1"/>
        <v>76161.420000000013</v>
      </c>
      <c r="AX28" s="171">
        <v>46493</v>
      </c>
      <c r="AY28" s="472">
        <v>43336</v>
      </c>
      <c r="AZ28" s="173">
        <f t="shared" si="2"/>
        <v>123967</v>
      </c>
      <c r="BA28" s="812">
        <f t="shared" si="3"/>
        <v>119497.42000000001</v>
      </c>
    </row>
    <row r="29" spans="1:53" x14ac:dyDescent="0.3">
      <c r="A29" s="164" t="s">
        <v>98</v>
      </c>
      <c r="B29" s="165">
        <v>2</v>
      </c>
      <c r="C29" s="166">
        <v>113</v>
      </c>
      <c r="D29" s="167"/>
      <c r="E29" s="324"/>
      <c r="F29" s="172"/>
      <c r="G29" s="169"/>
      <c r="H29" s="172"/>
      <c r="I29" s="169"/>
      <c r="J29" s="167">
        <v>51</v>
      </c>
      <c r="K29" s="324">
        <v>8</v>
      </c>
      <c r="L29" s="172"/>
      <c r="M29" s="169"/>
      <c r="N29" s="167">
        <v>17</v>
      </c>
      <c r="O29" s="169">
        <v>39</v>
      </c>
      <c r="P29" s="168"/>
      <c r="Q29" s="169">
        <v>82</v>
      </c>
      <c r="R29" s="168"/>
      <c r="S29" s="169"/>
      <c r="T29" s="168"/>
      <c r="U29" s="324"/>
      <c r="V29" s="172"/>
      <c r="W29" s="169"/>
      <c r="X29" s="167"/>
      <c r="Y29" s="324"/>
      <c r="Z29" s="326"/>
      <c r="AA29" s="516"/>
      <c r="AB29" s="167"/>
      <c r="AC29" s="169"/>
      <c r="AD29" s="168"/>
      <c r="AE29" s="169"/>
      <c r="AF29" s="170"/>
      <c r="AG29" s="169"/>
      <c r="AH29" s="168"/>
      <c r="AI29" s="324"/>
      <c r="AJ29" s="172"/>
      <c r="AK29" s="324"/>
      <c r="AL29" s="829"/>
      <c r="AM29" s="829"/>
      <c r="AN29" s="826"/>
      <c r="AO29" s="822"/>
      <c r="AP29" s="574"/>
      <c r="AQ29" s="818"/>
      <c r="AR29" s="171"/>
      <c r="AS29" s="472"/>
      <c r="AT29" s="172"/>
      <c r="AU29" s="324"/>
      <c r="AV29" s="173">
        <f t="shared" si="0"/>
        <v>70</v>
      </c>
      <c r="AW29" s="473">
        <f t="shared" si="1"/>
        <v>242</v>
      </c>
      <c r="AX29" s="171"/>
      <c r="AY29" s="472"/>
      <c r="AZ29" s="173">
        <f t="shared" si="2"/>
        <v>70</v>
      </c>
      <c r="BA29" s="812">
        <f t="shared" si="3"/>
        <v>242</v>
      </c>
    </row>
    <row r="30" spans="1:53" x14ac:dyDescent="0.3">
      <c r="A30" s="164" t="s">
        <v>99</v>
      </c>
      <c r="B30" s="165">
        <v>544</v>
      </c>
      <c r="C30" s="166">
        <v>201</v>
      </c>
      <c r="D30" s="167"/>
      <c r="E30" s="324"/>
      <c r="F30" s="172"/>
      <c r="G30" s="169"/>
      <c r="H30" s="172"/>
      <c r="I30" s="169"/>
      <c r="J30" s="167"/>
      <c r="K30" s="324"/>
      <c r="L30" s="172"/>
      <c r="M30" s="169"/>
      <c r="N30" s="167"/>
      <c r="O30" s="169"/>
      <c r="P30" s="168"/>
      <c r="Q30" s="169"/>
      <c r="R30" s="168"/>
      <c r="S30" s="169"/>
      <c r="T30" s="168"/>
      <c r="U30" s="324"/>
      <c r="V30" s="172"/>
      <c r="W30" s="169"/>
      <c r="X30" s="167"/>
      <c r="Y30" s="324"/>
      <c r="Z30" s="326"/>
      <c r="AA30" s="516"/>
      <c r="AB30" s="167"/>
      <c r="AC30" s="169"/>
      <c r="AD30" s="168"/>
      <c r="AE30" s="169"/>
      <c r="AF30" s="170"/>
      <c r="AG30" s="169"/>
      <c r="AH30" s="168"/>
      <c r="AI30" s="324"/>
      <c r="AJ30" s="172"/>
      <c r="AK30" s="324"/>
      <c r="AL30" s="829"/>
      <c r="AM30" s="829"/>
      <c r="AN30" s="826"/>
      <c r="AO30" s="822"/>
      <c r="AP30" s="574"/>
      <c r="AQ30" s="818"/>
      <c r="AR30" s="171"/>
      <c r="AS30" s="472"/>
      <c r="AT30" s="172"/>
      <c r="AU30" s="324"/>
      <c r="AV30" s="173">
        <f t="shared" si="0"/>
        <v>544</v>
      </c>
      <c r="AW30" s="473">
        <f t="shared" si="1"/>
        <v>201</v>
      </c>
      <c r="AX30" s="171"/>
      <c r="AY30" s="472"/>
      <c r="AZ30" s="173">
        <f t="shared" si="2"/>
        <v>544</v>
      </c>
      <c r="BA30" s="812">
        <f t="shared" si="3"/>
        <v>201</v>
      </c>
    </row>
    <row r="31" spans="1:53" x14ac:dyDescent="0.3">
      <c r="A31" s="164" t="s">
        <v>100</v>
      </c>
      <c r="B31" s="165"/>
      <c r="C31" s="166"/>
      <c r="D31" s="167">
        <v>19</v>
      </c>
      <c r="E31" s="324">
        <v>29</v>
      </c>
      <c r="F31" s="172">
        <v>1819</v>
      </c>
      <c r="G31" s="169">
        <v>417</v>
      </c>
      <c r="H31" s="172">
        <v>15306</v>
      </c>
      <c r="I31" s="169">
        <v>7295</v>
      </c>
      <c r="J31" s="167"/>
      <c r="K31" s="324"/>
      <c r="L31" s="172">
        <v>2974</v>
      </c>
      <c r="M31" s="169">
        <v>2417</v>
      </c>
      <c r="N31" s="167">
        <v>1324</v>
      </c>
      <c r="O31" s="169">
        <v>258</v>
      </c>
      <c r="P31" s="168">
        <v>5889</v>
      </c>
      <c r="Q31" s="169">
        <v>5410</v>
      </c>
      <c r="R31" s="168"/>
      <c r="S31" s="169">
        <v>17716</v>
      </c>
      <c r="T31" s="168">
        <v>6125</v>
      </c>
      <c r="U31" s="324">
        <v>3732</v>
      </c>
      <c r="V31" s="172">
        <v>129606</v>
      </c>
      <c r="W31" s="169">
        <v>60015</v>
      </c>
      <c r="X31" s="167">
        <v>7242</v>
      </c>
      <c r="Y31" s="324">
        <v>11969</v>
      </c>
      <c r="Z31" s="326">
        <v>1737</v>
      </c>
      <c r="AA31" s="516">
        <v>859</v>
      </c>
      <c r="AB31" s="167">
        <v>23780</v>
      </c>
      <c r="AC31" s="169">
        <v>17819.57</v>
      </c>
      <c r="AD31" s="168">
        <v>14043</v>
      </c>
      <c r="AE31" s="169">
        <v>6601</v>
      </c>
      <c r="AF31" s="170">
        <v>7392</v>
      </c>
      <c r="AG31" s="169">
        <v>3160</v>
      </c>
      <c r="AH31" s="168">
        <v>16236</v>
      </c>
      <c r="AI31" s="324">
        <v>9710</v>
      </c>
      <c r="AJ31" s="172">
        <v>2391</v>
      </c>
      <c r="AK31" s="324">
        <v>2473</v>
      </c>
      <c r="AL31" s="829"/>
      <c r="AM31" s="829"/>
      <c r="AN31" s="826">
        <v>31892</v>
      </c>
      <c r="AO31" s="822">
        <v>23114</v>
      </c>
      <c r="AP31" s="574">
        <v>4939</v>
      </c>
      <c r="AQ31" s="818">
        <v>3527.24</v>
      </c>
      <c r="AR31" s="171">
        <v>6651</v>
      </c>
      <c r="AS31" s="472">
        <v>1940</v>
      </c>
      <c r="AT31" s="172">
        <v>36452</v>
      </c>
      <c r="AU31" s="324">
        <v>9992</v>
      </c>
      <c r="AV31" s="173">
        <f t="shared" si="0"/>
        <v>315817</v>
      </c>
      <c r="AW31" s="473">
        <f t="shared" si="1"/>
        <v>188453.81</v>
      </c>
      <c r="AX31" s="171"/>
      <c r="AY31" s="472">
        <v>168576</v>
      </c>
      <c r="AZ31" s="173">
        <f t="shared" si="2"/>
        <v>315817</v>
      </c>
      <c r="BA31" s="812">
        <f t="shared" si="3"/>
        <v>357029.81</v>
      </c>
    </row>
    <row r="32" spans="1:53" x14ac:dyDescent="0.3">
      <c r="A32" s="164" t="s">
        <v>101</v>
      </c>
      <c r="B32" s="165"/>
      <c r="C32" s="166"/>
      <c r="D32" s="167">
        <v>491</v>
      </c>
      <c r="E32" s="324">
        <v>484</v>
      </c>
      <c r="F32" s="172"/>
      <c r="G32" s="169"/>
      <c r="H32" s="172"/>
      <c r="I32" s="169"/>
      <c r="J32" s="167"/>
      <c r="K32" s="324"/>
      <c r="L32" s="172"/>
      <c r="M32" s="169"/>
      <c r="N32" s="167"/>
      <c r="O32" s="169"/>
      <c r="P32" s="168">
        <v>977</v>
      </c>
      <c r="Q32" s="169">
        <v>971</v>
      </c>
      <c r="R32" s="168"/>
      <c r="S32" s="169"/>
      <c r="T32" s="168"/>
      <c r="U32" s="324"/>
      <c r="V32" s="172"/>
      <c r="W32" s="169"/>
      <c r="X32" s="167"/>
      <c r="Y32" s="324"/>
      <c r="Z32" s="326"/>
      <c r="AA32" s="516"/>
      <c r="AB32" s="167"/>
      <c r="AC32" s="169"/>
      <c r="AD32" s="168"/>
      <c r="AE32" s="169"/>
      <c r="AF32" s="170"/>
      <c r="AG32" s="169"/>
      <c r="AH32" s="168"/>
      <c r="AI32" s="324"/>
      <c r="AJ32" s="172">
        <v>2461</v>
      </c>
      <c r="AK32" s="324">
        <v>2488</v>
      </c>
      <c r="AL32" s="829"/>
      <c r="AM32" s="829"/>
      <c r="AN32" s="826"/>
      <c r="AO32" s="822"/>
      <c r="AP32" s="574"/>
      <c r="AQ32" s="818"/>
      <c r="AR32" s="171"/>
      <c r="AS32" s="472"/>
      <c r="AT32" s="172"/>
      <c r="AU32" s="324"/>
      <c r="AV32" s="173">
        <f t="shared" si="0"/>
        <v>3929</v>
      </c>
      <c r="AW32" s="473">
        <f t="shared" si="1"/>
        <v>3943</v>
      </c>
      <c r="AX32" s="171"/>
      <c r="AY32" s="472"/>
      <c r="AZ32" s="173">
        <f t="shared" si="2"/>
        <v>3929</v>
      </c>
      <c r="BA32" s="812">
        <f t="shared" si="3"/>
        <v>3943</v>
      </c>
    </row>
    <row r="33" spans="1:53" x14ac:dyDescent="0.3">
      <c r="A33" s="164" t="s">
        <v>102</v>
      </c>
      <c r="B33" s="165"/>
      <c r="C33" s="166"/>
      <c r="D33" s="167">
        <v>36</v>
      </c>
      <c r="E33" s="324">
        <v>83</v>
      </c>
      <c r="F33" s="172"/>
      <c r="G33" s="169"/>
      <c r="H33" s="172"/>
      <c r="I33" s="169"/>
      <c r="J33" s="167"/>
      <c r="K33" s="324"/>
      <c r="L33" s="172"/>
      <c r="M33" s="169"/>
      <c r="N33" s="167"/>
      <c r="O33" s="169"/>
      <c r="P33" s="168"/>
      <c r="Q33" s="169"/>
      <c r="R33" s="168"/>
      <c r="S33" s="169">
        <v>2590</v>
      </c>
      <c r="T33" s="168"/>
      <c r="U33" s="324"/>
      <c r="V33" s="172">
        <v>12849</v>
      </c>
      <c r="W33" s="169">
        <v>8857</v>
      </c>
      <c r="X33" s="167">
        <v>2301</v>
      </c>
      <c r="Y33" s="324">
        <v>1791</v>
      </c>
      <c r="Z33" s="326">
        <v>485</v>
      </c>
      <c r="AA33" s="516"/>
      <c r="AB33" s="167">
        <v>352</v>
      </c>
      <c r="AC33" s="169">
        <v>304</v>
      </c>
      <c r="AD33" s="168"/>
      <c r="AE33" s="169"/>
      <c r="AF33" s="170"/>
      <c r="AG33" s="169"/>
      <c r="AH33" s="168">
        <v>1472</v>
      </c>
      <c r="AI33" s="324">
        <v>1125</v>
      </c>
      <c r="AJ33" s="172"/>
      <c r="AK33" s="324"/>
      <c r="AL33" s="829"/>
      <c r="AM33" s="829"/>
      <c r="AN33" s="826"/>
      <c r="AO33" s="822"/>
      <c r="AP33" s="574"/>
      <c r="AQ33" s="818"/>
      <c r="AR33" s="171"/>
      <c r="AS33" s="472"/>
      <c r="AT33" s="172">
        <v>1869</v>
      </c>
      <c r="AU33" s="174">
        <v>1233</v>
      </c>
      <c r="AV33" s="173">
        <f t="shared" si="0"/>
        <v>19364</v>
      </c>
      <c r="AW33" s="473">
        <f t="shared" si="1"/>
        <v>15983</v>
      </c>
      <c r="AX33" s="171">
        <v>92</v>
      </c>
      <c r="AY33" s="472">
        <v>37</v>
      </c>
      <c r="AZ33" s="173">
        <f t="shared" si="2"/>
        <v>19456</v>
      </c>
      <c r="BA33" s="812">
        <f t="shared" si="3"/>
        <v>16020</v>
      </c>
    </row>
    <row r="34" spans="1:53" x14ac:dyDescent="0.3">
      <c r="A34" s="164" t="s">
        <v>103</v>
      </c>
      <c r="B34" s="165">
        <v>944</v>
      </c>
      <c r="C34" s="166">
        <v>774</v>
      </c>
      <c r="D34" s="167">
        <v>14</v>
      </c>
      <c r="E34" s="324">
        <v>13</v>
      </c>
      <c r="F34" s="172">
        <v>234</v>
      </c>
      <c r="G34" s="169">
        <v>240</v>
      </c>
      <c r="H34" s="172">
        <v>1133</v>
      </c>
      <c r="I34" s="169">
        <v>709</v>
      </c>
      <c r="J34" s="167">
        <v>504</v>
      </c>
      <c r="K34" s="324">
        <v>302</v>
      </c>
      <c r="L34" s="172"/>
      <c r="M34" s="169"/>
      <c r="N34" s="167">
        <v>212</v>
      </c>
      <c r="O34" s="169">
        <v>209</v>
      </c>
      <c r="P34" s="168"/>
      <c r="Q34" s="169"/>
      <c r="R34" s="168"/>
      <c r="S34" s="169"/>
      <c r="T34" s="168"/>
      <c r="U34" s="324"/>
      <c r="V34" s="172"/>
      <c r="W34" s="169"/>
      <c r="X34" s="167"/>
      <c r="Y34" s="324"/>
      <c r="Z34" s="326">
        <v>188</v>
      </c>
      <c r="AA34" s="516">
        <v>150</v>
      </c>
      <c r="AB34" s="167"/>
      <c r="AC34" s="169"/>
      <c r="AD34" s="168">
        <v>1006</v>
      </c>
      <c r="AE34" s="169">
        <v>737</v>
      </c>
      <c r="AF34" s="170">
        <v>2120</v>
      </c>
      <c r="AG34" s="169">
        <v>1473</v>
      </c>
      <c r="AH34" s="168"/>
      <c r="AI34" s="324"/>
      <c r="AJ34" s="172"/>
      <c r="AK34" s="324"/>
      <c r="AL34" s="829"/>
      <c r="AM34" s="829"/>
      <c r="AN34" s="826"/>
      <c r="AO34" s="822"/>
      <c r="AP34" s="574"/>
      <c r="AQ34" s="818"/>
      <c r="AR34" s="171"/>
      <c r="AS34" s="472"/>
      <c r="AT34" s="172"/>
      <c r="AU34" s="324"/>
      <c r="AV34" s="173">
        <f t="shared" si="0"/>
        <v>6355</v>
      </c>
      <c r="AW34" s="473">
        <f t="shared" si="1"/>
        <v>4607</v>
      </c>
      <c r="AX34" s="171">
        <v>22423</v>
      </c>
      <c r="AY34" s="472">
        <v>21840</v>
      </c>
      <c r="AZ34" s="173">
        <f t="shared" si="2"/>
        <v>28778</v>
      </c>
      <c r="BA34" s="812">
        <f t="shared" si="3"/>
        <v>26447</v>
      </c>
    </row>
    <row r="35" spans="1:53" x14ac:dyDescent="0.3">
      <c r="A35" s="164" t="s">
        <v>104</v>
      </c>
      <c r="B35" s="165">
        <v>1870</v>
      </c>
      <c r="C35" s="166">
        <v>639</v>
      </c>
      <c r="D35" s="167">
        <v>50</v>
      </c>
      <c r="E35" s="324">
        <v>68</v>
      </c>
      <c r="F35" s="172">
        <v>248</v>
      </c>
      <c r="G35" s="169">
        <v>167</v>
      </c>
      <c r="H35" s="172"/>
      <c r="I35" s="169"/>
      <c r="J35" s="167"/>
      <c r="K35" s="324"/>
      <c r="L35" s="172"/>
      <c r="M35" s="169"/>
      <c r="N35" s="167"/>
      <c r="O35" s="169"/>
      <c r="P35" s="168"/>
      <c r="Q35" s="169"/>
      <c r="R35" s="168"/>
      <c r="S35" s="169"/>
      <c r="T35" s="168"/>
      <c r="U35" s="324"/>
      <c r="V35" s="172"/>
      <c r="W35" s="169"/>
      <c r="X35" s="167"/>
      <c r="Y35" s="324"/>
      <c r="Z35" s="326"/>
      <c r="AA35" s="516"/>
      <c r="AB35" s="167"/>
      <c r="AC35" s="169"/>
      <c r="AD35" s="168"/>
      <c r="AE35" s="169"/>
      <c r="AF35" s="170"/>
      <c r="AG35" s="169"/>
      <c r="AH35" s="168">
        <v>637</v>
      </c>
      <c r="AI35" s="324">
        <v>448</v>
      </c>
      <c r="AJ35" s="172"/>
      <c r="AK35" s="324"/>
      <c r="AL35" s="829"/>
      <c r="AM35" s="829"/>
      <c r="AN35" s="826">
        <v>333</v>
      </c>
      <c r="AO35" s="822"/>
      <c r="AP35" s="574"/>
      <c r="AQ35" s="818"/>
      <c r="AR35" s="171"/>
      <c r="AS35" s="472"/>
      <c r="AT35" s="816"/>
      <c r="AU35" s="174"/>
      <c r="AV35" s="173">
        <f t="shared" si="0"/>
        <v>3138</v>
      </c>
      <c r="AW35" s="473">
        <f t="shared" si="1"/>
        <v>1322</v>
      </c>
      <c r="AX35" s="171"/>
      <c r="AY35" s="472"/>
      <c r="AZ35" s="173">
        <f t="shared" si="2"/>
        <v>3138</v>
      </c>
      <c r="BA35" s="812">
        <f t="shared" si="3"/>
        <v>1322</v>
      </c>
    </row>
    <row r="36" spans="1:53" x14ac:dyDescent="0.3">
      <c r="A36" s="164" t="s">
        <v>105</v>
      </c>
      <c r="B36" s="165">
        <v>997</v>
      </c>
      <c r="C36" s="166">
        <v>882</v>
      </c>
      <c r="D36" s="167">
        <v>124</v>
      </c>
      <c r="E36" s="324">
        <v>129</v>
      </c>
      <c r="F36" s="172">
        <v>116</v>
      </c>
      <c r="G36" s="169">
        <v>90</v>
      </c>
      <c r="H36" s="172">
        <f>11+1692+2224</f>
        <v>3927</v>
      </c>
      <c r="I36" s="169">
        <f>1550+1586+22</f>
        <v>3158</v>
      </c>
      <c r="J36" s="167">
        <f>186+59+1919+172+228+925</f>
        <v>3489</v>
      </c>
      <c r="K36" s="324">
        <f>543+146+48+177+832+246</f>
        <v>1992</v>
      </c>
      <c r="L36" s="172">
        <v>1887</v>
      </c>
      <c r="M36" s="169">
        <f>1553</f>
        <v>1553</v>
      </c>
      <c r="N36" s="167">
        <f>309+181+128</f>
        <v>618</v>
      </c>
      <c r="O36" s="169">
        <f>235+111+198</f>
        <v>544</v>
      </c>
      <c r="P36" s="168">
        <f>223+375</f>
        <v>598</v>
      </c>
      <c r="Q36" s="169">
        <v>175</v>
      </c>
      <c r="R36" s="168"/>
      <c r="S36" s="169"/>
      <c r="T36" s="168">
        <f>50+309</f>
        <v>359</v>
      </c>
      <c r="U36" s="324">
        <f>173+51</f>
        <v>224</v>
      </c>
      <c r="V36" s="172">
        <v>22344</v>
      </c>
      <c r="W36" s="169">
        <v>18385</v>
      </c>
      <c r="X36" s="167">
        <f>4102+5494+413+795</f>
        <v>10804</v>
      </c>
      <c r="Y36" s="324">
        <f>6594+14667+4652+2955+975</f>
        <v>29843</v>
      </c>
      <c r="Z36" s="326">
        <f>315+124</f>
        <v>439</v>
      </c>
      <c r="AA36" s="516">
        <f>459+454+100</f>
        <v>1013</v>
      </c>
      <c r="AB36" s="167">
        <v>104</v>
      </c>
      <c r="AC36" s="169">
        <v>138</v>
      </c>
      <c r="AD36" s="359">
        <f>1036+940+851</f>
        <v>2827</v>
      </c>
      <c r="AE36" s="593">
        <f>1384+2441+411</f>
        <v>4236</v>
      </c>
      <c r="AF36" s="170">
        <f>1419+96+1719+9962+604+13</f>
        <v>13813</v>
      </c>
      <c r="AG36" s="169">
        <f>1634+108+1183+4555+349-1</f>
        <v>7828</v>
      </c>
      <c r="AH36" s="168">
        <v>136</v>
      </c>
      <c r="AI36" s="324">
        <v>444</v>
      </c>
      <c r="AJ36" s="172">
        <f>561+465</f>
        <v>1026</v>
      </c>
      <c r="AK36" s="324">
        <f>716+647</f>
        <v>1363</v>
      </c>
      <c r="AL36" s="829"/>
      <c r="AM36" s="829"/>
      <c r="AN36" s="826">
        <f>3441+9441</f>
        <v>12882</v>
      </c>
      <c r="AO36" s="822">
        <f>3010+7149</f>
        <v>10159</v>
      </c>
      <c r="AP36" s="574">
        <f>2301+777</f>
        <v>3078</v>
      </c>
      <c r="AQ36" s="818">
        <f>506.41+2155.63</f>
        <v>2662.04</v>
      </c>
      <c r="AR36" s="171">
        <v>532</v>
      </c>
      <c r="AS36" s="472">
        <v>397</v>
      </c>
      <c r="AT36" s="172">
        <f>141+136</f>
        <v>277</v>
      </c>
      <c r="AU36" s="324">
        <v>103</v>
      </c>
      <c r="AV36" s="165">
        <f t="shared" si="0"/>
        <v>80377</v>
      </c>
      <c r="AW36" s="577">
        <f t="shared" si="1"/>
        <v>85318.04</v>
      </c>
      <c r="AX36" s="172">
        <f>126715+12851+965+1232+59287-140</f>
        <v>200910</v>
      </c>
      <c r="AY36" s="324">
        <f>12261+1212+352+54354+79</f>
        <v>68258</v>
      </c>
      <c r="AZ36" s="165">
        <f t="shared" si="2"/>
        <v>281287</v>
      </c>
      <c r="BA36" s="578">
        <f t="shared" si="3"/>
        <v>153576.03999999998</v>
      </c>
    </row>
    <row r="37" spans="1:53" x14ac:dyDescent="0.3">
      <c r="A37" s="176" t="s">
        <v>106</v>
      </c>
      <c r="B37" s="834">
        <v>4883</v>
      </c>
      <c r="C37" s="181">
        <v>4034</v>
      </c>
      <c r="D37" s="832"/>
      <c r="E37" s="325"/>
      <c r="F37" s="814"/>
      <c r="G37" s="179"/>
      <c r="H37" s="814"/>
      <c r="I37" s="179"/>
      <c r="J37" s="832"/>
      <c r="K37" s="325"/>
      <c r="L37" s="814"/>
      <c r="M37" s="179"/>
      <c r="N37" s="832"/>
      <c r="O37" s="179"/>
      <c r="P37" s="178"/>
      <c r="Q37" s="179"/>
      <c r="R37" s="178"/>
      <c r="S37" s="179"/>
      <c r="T37" s="178">
        <v>740</v>
      </c>
      <c r="U37" s="325">
        <v>491</v>
      </c>
      <c r="V37" s="814"/>
      <c r="W37" s="179"/>
      <c r="X37" s="832"/>
      <c r="Y37" s="325"/>
      <c r="Z37" s="1068"/>
      <c r="AA37" s="1069"/>
      <c r="AB37" s="832"/>
      <c r="AC37" s="179"/>
      <c r="AD37" s="594"/>
      <c r="AE37" s="595"/>
      <c r="AF37" s="180"/>
      <c r="AG37" s="179"/>
      <c r="AH37" s="178"/>
      <c r="AI37" s="325"/>
      <c r="AJ37" s="814"/>
      <c r="AK37" s="325"/>
      <c r="AL37" s="830"/>
      <c r="AM37" s="830"/>
      <c r="AN37" s="828"/>
      <c r="AO37" s="823"/>
      <c r="AP37" s="824"/>
      <c r="AQ37" s="819"/>
      <c r="AR37" s="171"/>
      <c r="AS37" s="472"/>
      <c r="AT37" s="814"/>
      <c r="AU37" s="325"/>
      <c r="AV37" s="165">
        <f t="shared" si="0"/>
        <v>5623</v>
      </c>
      <c r="AW37" s="577">
        <f t="shared" si="1"/>
        <v>4525</v>
      </c>
      <c r="AX37" s="814"/>
      <c r="AY37" s="325"/>
      <c r="AZ37" s="165">
        <f t="shared" si="2"/>
        <v>5623</v>
      </c>
      <c r="BA37" s="578">
        <f t="shared" si="3"/>
        <v>4525</v>
      </c>
    </row>
    <row r="38" spans="1:53" ht="17.25" thickBot="1" x14ac:dyDescent="0.35">
      <c r="A38" s="468" t="s">
        <v>107</v>
      </c>
      <c r="B38" s="834"/>
      <c r="C38" s="181"/>
      <c r="D38" s="832"/>
      <c r="E38" s="325"/>
      <c r="F38" s="814"/>
      <c r="G38" s="179"/>
      <c r="H38" s="814"/>
      <c r="I38" s="179"/>
      <c r="J38" s="832"/>
      <c r="K38" s="325"/>
      <c r="L38" s="814"/>
      <c r="M38" s="179"/>
      <c r="N38" s="832"/>
      <c r="O38" s="179"/>
      <c r="P38" s="178"/>
      <c r="Q38" s="179"/>
      <c r="R38" s="178"/>
      <c r="S38" s="179"/>
      <c r="T38" s="178"/>
      <c r="U38" s="325"/>
      <c r="V38" s="814"/>
      <c r="W38" s="179"/>
      <c r="X38" s="832"/>
      <c r="Y38" s="325"/>
      <c r="Z38" s="820"/>
      <c r="AA38" s="1070"/>
      <c r="AB38" s="832"/>
      <c r="AC38" s="179"/>
      <c r="AD38" s="178"/>
      <c r="AE38" s="179"/>
      <c r="AF38" s="180"/>
      <c r="AG38" s="179"/>
      <c r="AH38" s="178"/>
      <c r="AI38" s="325"/>
      <c r="AJ38" s="814"/>
      <c r="AK38" s="325"/>
      <c r="AL38" s="830"/>
      <c r="AM38" s="830"/>
      <c r="AN38" s="814"/>
      <c r="AO38" s="325"/>
      <c r="AP38" s="824"/>
      <c r="AQ38" s="819"/>
      <c r="AR38" s="820"/>
      <c r="AS38" s="323"/>
      <c r="AT38" s="814"/>
      <c r="AU38" s="325"/>
      <c r="AV38" s="177">
        <f t="shared" si="0"/>
        <v>0</v>
      </c>
      <c r="AW38" s="474">
        <f t="shared" si="1"/>
        <v>0</v>
      </c>
      <c r="AX38" s="814"/>
      <c r="AY38" s="325"/>
      <c r="AZ38" s="177">
        <f t="shared" si="2"/>
        <v>0</v>
      </c>
      <c r="BA38" s="182">
        <f t="shared" si="3"/>
        <v>0</v>
      </c>
    </row>
    <row r="39" spans="1:53" s="467" customFormat="1" ht="18.75" thickBot="1" x14ac:dyDescent="0.4">
      <c r="A39" s="596" t="s">
        <v>54</v>
      </c>
      <c r="B39" s="813">
        <f t="shared" ref="B39:H39" si="4">SUM(B5:B38)</f>
        <v>209648</v>
      </c>
      <c r="C39" s="465">
        <f t="shared" si="4"/>
        <v>152090</v>
      </c>
      <c r="D39" s="833">
        <f t="shared" si="4"/>
        <v>16313</v>
      </c>
      <c r="E39" s="464">
        <f t="shared" si="4"/>
        <v>16260</v>
      </c>
      <c r="F39" s="813">
        <f t="shared" si="4"/>
        <v>27340</v>
      </c>
      <c r="G39" s="465">
        <f t="shared" si="4"/>
        <v>25316</v>
      </c>
      <c r="H39" s="813">
        <f t="shared" si="4"/>
        <v>389340</v>
      </c>
      <c r="I39" s="465">
        <f t="shared" ref="I39:AU39" si="5">SUM(I5:I38)</f>
        <v>286783</v>
      </c>
      <c r="J39" s="464">
        <f t="shared" si="5"/>
        <v>92905</v>
      </c>
      <c r="K39" s="464">
        <f t="shared" si="5"/>
        <v>87177</v>
      </c>
      <c r="L39" s="813">
        <f t="shared" si="5"/>
        <v>83623</v>
      </c>
      <c r="M39" s="465">
        <f t="shared" si="5"/>
        <v>69730</v>
      </c>
      <c r="N39" s="464">
        <f t="shared" si="5"/>
        <v>32026</v>
      </c>
      <c r="O39" s="464">
        <f t="shared" si="5"/>
        <v>26189</v>
      </c>
      <c r="P39" s="464">
        <f t="shared" si="5"/>
        <v>57815</v>
      </c>
      <c r="Q39" s="464">
        <f t="shared" si="5"/>
        <v>53893</v>
      </c>
      <c r="R39" s="464">
        <f t="shared" si="5"/>
        <v>0</v>
      </c>
      <c r="S39" s="464">
        <f t="shared" si="5"/>
        <v>74331</v>
      </c>
      <c r="T39" s="464">
        <f t="shared" si="5"/>
        <v>59275</v>
      </c>
      <c r="U39" s="464">
        <f t="shared" si="5"/>
        <v>51340</v>
      </c>
      <c r="V39" s="813">
        <f t="shared" si="5"/>
        <v>811988</v>
      </c>
      <c r="W39" s="465">
        <f t="shared" si="5"/>
        <v>561247</v>
      </c>
      <c r="X39" s="464">
        <f t="shared" si="5"/>
        <v>458323</v>
      </c>
      <c r="Y39" s="464">
        <f t="shared" si="5"/>
        <v>367295</v>
      </c>
      <c r="Z39" s="813">
        <f t="shared" si="5"/>
        <v>35831</v>
      </c>
      <c r="AA39" s="465">
        <f t="shared" si="5"/>
        <v>26652</v>
      </c>
      <c r="AB39" s="464">
        <f t="shared" si="5"/>
        <v>84424</v>
      </c>
      <c r="AC39" s="465">
        <f t="shared" si="5"/>
        <v>70422.17</v>
      </c>
      <c r="AD39" s="464">
        <f t="shared" si="5"/>
        <v>204583</v>
      </c>
      <c r="AE39" s="465">
        <f t="shared" si="5"/>
        <v>164847</v>
      </c>
      <c r="AF39" s="466">
        <f t="shared" si="5"/>
        <v>358086</v>
      </c>
      <c r="AG39" s="465">
        <f t="shared" si="5"/>
        <v>301925</v>
      </c>
      <c r="AH39" s="464">
        <f t="shared" si="5"/>
        <v>145177</v>
      </c>
      <c r="AI39" s="831">
        <f t="shared" si="5"/>
        <v>120892</v>
      </c>
      <c r="AJ39" s="813">
        <f t="shared" si="5"/>
        <v>116014</v>
      </c>
      <c r="AK39" s="464">
        <f t="shared" si="5"/>
        <v>107181</v>
      </c>
      <c r="AL39" s="813">
        <f t="shared" si="5"/>
        <v>0</v>
      </c>
      <c r="AM39" s="813">
        <f t="shared" si="5"/>
        <v>0</v>
      </c>
      <c r="AN39" s="813">
        <f t="shared" si="5"/>
        <v>341281</v>
      </c>
      <c r="AO39" s="464">
        <f t="shared" si="5"/>
        <v>297444</v>
      </c>
      <c r="AP39" s="813">
        <f t="shared" si="5"/>
        <v>57714</v>
      </c>
      <c r="AQ39" s="464">
        <f t="shared" si="5"/>
        <v>51304.05999999999</v>
      </c>
      <c r="AR39" s="817">
        <f t="shared" si="5"/>
        <v>75963</v>
      </c>
      <c r="AS39" s="815">
        <f t="shared" si="5"/>
        <v>47518</v>
      </c>
      <c r="AT39" s="817">
        <f t="shared" si="5"/>
        <v>437642</v>
      </c>
      <c r="AU39" s="815">
        <f t="shared" si="5"/>
        <v>291517</v>
      </c>
      <c r="AV39" s="813">
        <f t="shared" ref="AV39:BA39" si="6">SUM(AV5:AV38)</f>
        <v>4095311</v>
      </c>
      <c r="AW39" s="464">
        <f t="shared" si="6"/>
        <v>3251353.23</v>
      </c>
      <c r="AX39" s="813">
        <f>SUM(AX5:AX38)</f>
        <v>4814557</v>
      </c>
      <c r="AY39" s="464">
        <f>SUM(AY5:AY38)</f>
        <v>3889046.62</v>
      </c>
      <c r="AZ39" s="813">
        <f t="shared" si="6"/>
        <v>8909868</v>
      </c>
      <c r="BA39" s="465">
        <f t="shared" si="6"/>
        <v>7140399.8499999996</v>
      </c>
    </row>
  </sheetData>
  <mergeCells count="29">
    <mergeCell ref="A1:AY1"/>
    <mergeCell ref="A2:AY2"/>
    <mergeCell ref="A3:A4"/>
    <mergeCell ref="AB3:AC3"/>
    <mergeCell ref="AD3:AE3"/>
    <mergeCell ref="AF3:AG3"/>
    <mergeCell ref="AH3:AI3"/>
    <mergeCell ref="B3:C3"/>
    <mergeCell ref="D3:E3"/>
    <mergeCell ref="N3:O3"/>
    <mergeCell ref="AL3:AM3"/>
    <mergeCell ref="F3:G3"/>
    <mergeCell ref="AJ3:AK3"/>
    <mergeCell ref="AZ3:BA3"/>
    <mergeCell ref="AV3:AW3"/>
    <mergeCell ref="AX3:AY3"/>
    <mergeCell ref="H3:I3"/>
    <mergeCell ref="J3:K3"/>
    <mergeCell ref="T3:U3"/>
    <mergeCell ref="L3:M3"/>
    <mergeCell ref="AR3:AS3"/>
    <mergeCell ref="AP3:AQ3"/>
    <mergeCell ref="AT3:AU3"/>
    <mergeCell ref="AN3:AO3"/>
    <mergeCell ref="X3:Y3"/>
    <mergeCell ref="Z3:AA3"/>
    <mergeCell ref="P3:Q3"/>
    <mergeCell ref="R3:S3"/>
    <mergeCell ref="V3:W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BA39"/>
  <sheetViews>
    <sheetView topLeftCell="A28" workbookViewId="0">
      <pane xSplit="1" topLeftCell="B1" activePane="topRight" state="frozen"/>
      <selection pane="topRight" activeCell="J41" sqref="J41"/>
    </sheetView>
  </sheetViews>
  <sheetFormatPr defaultRowHeight="15" x14ac:dyDescent="0.25"/>
  <cols>
    <col min="1" max="1" width="37.28515625" style="150" bestFit="1" customWidth="1"/>
    <col min="2" max="4" width="12.42578125" bestFit="1" customWidth="1"/>
    <col min="5" max="5" width="12.42578125" style="148" bestFit="1" customWidth="1"/>
    <col min="6" max="21" width="12.42578125" bestFit="1" customWidth="1"/>
    <col min="22" max="23" width="12.42578125" style="148" bestFit="1" customWidth="1"/>
    <col min="24" max="41" width="12.42578125" bestFit="1" customWidth="1"/>
    <col min="42" max="47" width="12.42578125" style="148" bestFit="1" customWidth="1"/>
    <col min="48" max="53" width="12.42578125" style="149" bestFit="1" customWidth="1"/>
  </cols>
  <sheetData>
    <row r="1" spans="1:53" s="90" customFormat="1" ht="14.25" customHeight="1" x14ac:dyDescent="0.35">
      <c r="A1" s="1390" t="s">
        <v>154</v>
      </c>
      <c r="B1" s="1390"/>
      <c r="C1" s="1390"/>
      <c r="D1" s="1390"/>
      <c r="E1" s="1390"/>
      <c r="F1" s="1390"/>
      <c r="G1" s="1390"/>
      <c r="H1" s="1390"/>
      <c r="I1" s="1390"/>
      <c r="J1" s="1390"/>
      <c r="K1" s="1390"/>
      <c r="L1" s="1390"/>
      <c r="M1" s="1390"/>
      <c r="N1" s="1390"/>
      <c r="O1" s="1390"/>
      <c r="P1" s="1390"/>
      <c r="Q1" s="1390"/>
      <c r="R1" s="1390"/>
      <c r="S1" s="1390"/>
      <c r="T1" s="1390"/>
      <c r="U1" s="1390"/>
      <c r="V1" s="1390"/>
      <c r="W1" s="1390"/>
      <c r="X1" s="1390"/>
      <c r="Y1" s="1390"/>
      <c r="Z1" s="1390"/>
      <c r="AA1" s="1390"/>
      <c r="AB1" s="1390"/>
      <c r="AC1" s="1390"/>
      <c r="AD1" s="1390"/>
      <c r="AE1" s="1390"/>
      <c r="AF1" s="1390"/>
      <c r="AG1" s="1390"/>
      <c r="AH1" s="1390"/>
      <c r="AI1" s="1390"/>
      <c r="AJ1" s="1390"/>
      <c r="AK1" s="1390"/>
      <c r="AL1" s="1390"/>
      <c r="AM1" s="1390"/>
      <c r="AN1" s="1390"/>
      <c r="AO1" s="1390"/>
      <c r="AP1" s="1390"/>
      <c r="AQ1" s="1390"/>
      <c r="AR1" s="1390"/>
      <c r="AS1" s="1390"/>
      <c r="AT1" s="1390"/>
      <c r="AU1" s="1390"/>
      <c r="AV1" s="1390"/>
      <c r="AW1" s="1390"/>
      <c r="AX1" s="1390"/>
      <c r="AY1" s="1390"/>
      <c r="AZ1" s="118"/>
      <c r="BA1" s="118"/>
    </row>
    <row r="2" spans="1:53" s="90" customFormat="1" ht="14.25" customHeight="1" thickBot="1" x14ac:dyDescent="0.35">
      <c r="A2" s="1417" t="s">
        <v>423</v>
      </c>
      <c r="B2" s="1417"/>
      <c r="C2" s="1417"/>
      <c r="D2" s="1417"/>
      <c r="E2" s="1417"/>
      <c r="F2" s="1417"/>
      <c r="G2" s="1417"/>
      <c r="H2" s="1417"/>
      <c r="I2" s="1417"/>
      <c r="J2" s="1417"/>
      <c r="K2" s="1417"/>
      <c r="L2" s="1417"/>
      <c r="M2" s="1417"/>
      <c r="N2" s="1417"/>
      <c r="O2" s="1417"/>
      <c r="P2" s="1417"/>
      <c r="Q2" s="1417"/>
      <c r="R2" s="1417"/>
      <c r="S2" s="1417"/>
      <c r="T2" s="1417"/>
      <c r="U2" s="1417"/>
      <c r="V2" s="1417"/>
      <c r="W2" s="1417"/>
      <c r="X2" s="1417"/>
      <c r="Y2" s="1417"/>
      <c r="Z2" s="1417"/>
      <c r="AA2" s="1417"/>
      <c r="AB2" s="1417"/>
      <c r="AC2" s="1417"/>
      <c r="AD2" s="1417"/>
      <c r="AE2" s="1417"/>
      <c r="AF2" s="1417"/>
      <c r="AG2" s="1417"/>
      <c r="AH2" s="1417"/>
      <c r="AI2" s="1417"/>
      <c r="AJ2" s="1417"/>
      <c r="AK2" s="1417"/>
      <c r="AL2" s="1417"/>
      <c r="AM2" s="1417"/>
      <c r="AN2" s="1417"/>
      <c r="AO2" s="1417"/>
      <c r="AP2" s="1417"/>
      <c r="AQ2" s="1417"/>
      <c r="AR2" s="1417"/>
      <c r="AS2" s="1417"/>
      <c r="AT2" s="1417"/>
      <c r="AU2" s="1417"/>
      <c r="AV2" s="1417"/>
      <c r="AW2" s="1417"/>
      <c r="AX2" s="1417"/>
      <c r="AY2" s="1417"/>
      <c r="AZ2" s="118"/>
      <c r="BA2" s="118"/>
    </row>
    <row r="3" spans="1:53" s="670" customFormat="1" thickBot="1" x14ac:dyDescent="0.3">
      <c r="A3" s="1418" t="s">
        <v>0</v>
      </c>
      <c r="B3" s="1423" t="s">
        <v>158</v>
      </c>
      <c r="C3" s="1421"/>
      <c r="D3" s="1423" t="s">
        <v>159</v>
      </c>
      <c r="E3" s="1421"/>
      <c r="F3" s="1423" t="s">
        <v>160</v>
      </c>
      <c r="G3" s="1421"/>
      <c r="H3" s="1423" t="s">
        <v>161</v>
      </c>
      <c r="I3" s="1421"/>
      <c r="J3" s="1420" t="s">
        <v>162</v>
      </c>
      <c r="K3" s="1421"/>
      <c r="L3" s="1420" t="s">
        <v>163</v>
      </c>
      <c r="M3" s="1421"/>
      <c r="N3" s="1424" t="s">
        <v>312</v>
      </c>
      <c r="O3" s="1425"/>
      <c r="P3" s="1423" t="s">
        <v>164</v>
      </c>
      <c r="Q3" s="1421"/>
      <c r="R3" s="1423" t="s">
        <v>165</v>
      </c>
      <c r="S3" s="1421"/>
      <c r="T3" s="1423" t="s">
        <v>166</v>
      </c>
      <c r="U3" s="1421"/>
      <c r="V3" s="1422" t="s">
        <v>167</v>
      </c>
      <c r="W3" s="1377"/>
      <c r="X3" s="1420" t="s">
        <v>168</v>
      </c>
      <c r="Y3" s="1421"/>
      <c r="Z3" s="1420" t="s">
        <v>381</v>
      </c>
      <c r="AA3" s="1421"/>
      <c r="AB3" s="1420" t="s">
        <v>169</v>
      </c>
      <c r="AC3" s="1421"/>
      <c r="AD3" s="1426" t="s">
        <v>170</v>
      </c>
      <c r="AE3" s="1427"/>
      <c r="AF3" s="1420" t="s">
        <v>171</v>
      </c>
      <c r="AG3" s="1421"/>
      <c r="AH3" s="1420" t="s">
        <v>172</v>
      </c>
      <c r="AI3" s="1421"/>
      <c r="AJ3" s="1420" t="s">
        <v>173</v>
      </c>
      <c r="AK3" s="1421"/>
      <c r="AL3" s="1426" t="s">
        <v>174</v>
      </c>
      <c r="AM3" s="1427"/>
      <c r="AN3" s="1420" t="s">
        <v>175</v>
      </c>
      <c r="AO3" s="1421"/>
      <c r="AP3" s="1422" t="s">
        <v>176</v>
      </c>
      <c r="AQ3" s="1377"/>
      <c r="AR3" s="1422" t="s">
        <v>177</v>
      </c>
      <c r="AS3" s="1377"/>
      <c r="AT3" s="1422" t="s">
        <v>178</v>
      </c>
      <c r="AU3" s="1377"/>
      <c r="AV3" s="1370" t="s">
        <v>1</v>
      </c>
      <c r="AW3" s="1371"/>
      <c r="AX3" s="1428" t="s">
        <v>179</v>
      </c>
      <c r="AY3" s="1429"/>
      <c r="AZ3" s="1368" t="s">
        <v>2</v>
      </c>
      <c r="BA3" s="1369"/>
    </row>
    <row r="4" spans="1:53" s="434" customFormat="1" ht="15" customHeight="1" thickBot="1" x14ac:dyDescent="0.35">
      <c r="A4" s="1419"/>
      <c r="B4" s="505" t="s">
        <v>437</v>
      </c>
      <c r="C4" s="478" t="s">
        <v>420</v>
      </c>
      <c r="D4" s="505" t="s">
        <v>437</v>
      </c>
      <c r="E4" s="478" t="s">
        <v>420</v>
      </c>
      <c r="F4" s="505" t="s">
        <v>437</v>
      </c>
      <c r="G4" s="478" t="s">
        <v>420</v>
      </c>
      <c r="H4" s="505" t="s">
        <v>437</v>
      </c>
      <c r="I4" s="478" t="s">
        <v>420</v>
      </c>
      <c r="J4" s="505" t="s">
        <v>437</v>
      </c>
      <c r="K4" s="478" t="s">
        <v>420</v>
      </c>
      <c r="L4" s="505" t="s">
        <v>437</v>
      </c>
      <c r="M4" s="478" t="s">
        <v>420</v>
      </c>
      <c r="N4" s="505" t="s">
        <v>437</v>
      </c>
      <c r="O4" s="478" t="s">
        <v>420</v>
      </c>
      <c r="P4" s="505" t="s">
        <v>437</v>
      </c>
      <c r="Q4" s="478" t="s">
        <v>420</v>
      </c>
      <c r="R4" s="505" t="s">
        <v>437</v>
      </c>
      <c r="S4" s="478" t="s">
        <v>420</v>
      </c>
      <c r="T4" s="505" t="s">
        <v>437</v>
      </c>
      <c r="U4" s="478" t="s">
        <v>420</v>
      </c>
      <c r="V4" s="505" t="s">
        <v>437</v>
      </c>
      <c r="W4" s="478" t="s">
        <v>420</v>
      </c>
      <c r="X4" s="505" t="s">
        <v>437</v>
      </c>
      <c r="Y4" s="478" t="s">
        <v>420</v>
      </c>
      <c r="Z4" s="505" t="s">
        <v>437</v>
      </c>
      <c r="AA4" s="478" t="s">
        <v>420</v>
      </c>
      <c r="AB4" s="505" t="s">
        <v>437</v>
      </c>
      <c r="AC4" s="478" t="s">
        <v>420</v>
      </c>
      <c r="AD4" s="505" t="s">
        <v>437</v>
      </c>
      <c r="AE4" s="478" t="s">
        <v>420</v>
      </c>
      <c r="AF4" s="505" t="s">
        <v>437</v>
      </c>
      <c r="AG4" s="478" t="s">
        <v>420</v>
      </c>
      <c r="AH4" s="505" t="s">
        <v>437</v>
      </c>
      <c r="AI4" s="478" t="s">
        <v>420</v>
      </c>
      <c r="AJ4" s="505" t="s">
        <v>437</v>
      </c>
      <c r="AK4" s="478" t="s">
        <v>420</v>
      </c>
      <c r="AL4" s="505" t="s">
        <v>437</v>
      </c>
      <c r="AM4" s="478" t="s">
        <v>420</v>
      </c>
      <c r="AN4" s="505" t="s">
        <v>437</v>
      </c>
      <c r="AO4" s="478" t="s">
        <v>420</v>
      </c>
      <c r="AP4" s="505" t="s">
        <v>437</v>
      </c>
      <c r="AQ4" s="478" t="s">
        <v>420</v>
      </c>
      <c r="AR4" s="505" t="s">
        <v>437</v>
      </c>
      <c r="AS4" s="478" t="s">
        <v>420</v>
      </c>
      <c r="AT4" s="505" t="s">
        <v>437</v>
      </c>
      <c r="AU4" s="478" t="s">
        <v>420</v>
      </c>
      <c r="AV4" s="505" t="s">
        <v>437</v>
      </c>
      <c r="AW4" s="478" t="s">
        <v>420</v>
      </c>
      <c r="AX4" s="505" t="s">
        <v>437</v>
      </c>
      <c r="AY4" s="478" t="s">
        <v>420</v>
      </c>
      <c r="AZ4" s="505" t="s">
        <v>437</v>
      </c>
      <c r="BA4" s="478" t="s">
        <v>420</v>
      </c>
    </row>
    <row r="5" spans="1:53" s="93" customFormat="1" ht="15" customHeight="1" x14ac:dyDescent="0.3">
      <c r="A5" s="396" t="s">
        <v>30</v>
      </c>
      <c r="B5" s="735"/>
      <c r="C5" s="153"/>
      <c r="D5" s="152"/>
      <c r="E5" s="154"/>
      <c r="F5" s="156"/>
      <c r="G5" s="154"/>
      <c r="H5" s="156"/>
      <c r="I5" s="154"/>
      <c r="J5" s="155"/>
      <c r="K5" s="154"/>
      <c r="L5" s="155"/>
      <c r="M5" s="154"/>
      <c r="N5" s="156"/>
      <c r="O5" s="154"/>
      <c r="P5" s="152"/>
      <c r="Q5" s="153"/>
      <c r="R5" s="152"/>
      <c r="S5" s="153"/>
      <c r="T5" s="152"/>
      <c r="U5" s="153"/>
      <c r="V5" s="155"/>
      <c r="W5" s="154"/>
      <c r="X5" s="742"/>
      <c r="Y5" s="153"/>
      <c r="Z5" s="742"/>
      <c r="AA5" s="153"/>
      <c r="AB5" s="742"/>
      <c r="AC5" s="153"/>
      <c r="AD5" s="742"/>
      <c r="AE5" s="153"/>
      <c r="AF5" s="742"/>
      <c r="AG5" s="153"/>
      <c r="AH5" s="742"/>
      <c r="AI5" s="153"/>
      <c r="AJ5" s="742"/>
      <c r="AK5" s="153"/>
      <c r="AL5" s="682"/>
      <c r="AM5" s="978"/>
      <c r="AN5" s="198"/>
      <c r="AO5" s="199"/>
      <c r="AP5" s="155"/>
      <c r="AQ5" s="154"/>
      <c r="AR5" s="155"/>
      <c r="AS5" s="154"/>
      <c r="AT5" s="155"/>
      <c r="AU5" s="154"/>
      <c r="AV5" s="155"/>
      <c r="AW5" s="154"/>
      <c r="AX5" s="155"/>
      <c r="AY5" s="154"/>
      <c r="AZ5" s="159"/>
      <c r="BA5" s="160"/>
    </row>
    <row r="6" spans="1:53" s="93" customFormat="1" ht="14.25" x14ac:dyDescent="0.3">
      <c r="A6" s="395" t="s">
        <v>31</v>
      </c>
      <c r="B6" s="736">
        <v>76969</v>
      </c>
      <c r="C6" s="94">
        <v>148344</v>
      </c>
      <c r="D6" s="96">
        <v>9358</v>
      </c>
      <c r="E6" s="100">
        <v>34945</v>
      </c>
      <c r="F6" s="99">
        <v>11969</v>
      </c>
      <c r="G6" s="100">
        <v>31438</v>
      </c>
      <c r="H6" s="99">
        <v>185711</v>
      </c>
      <c r="I6" s="100">
        <v>232806</v>
      </c>
      <c r="J6" s="119">
        <v>22080</v>
      </c>
      <c r="K6" s="100">
        <v>39693</v>
      </c>
      <c r="L6" s="119">
        <v>42793</v>
      </c>
      <c r="M6" s="100">
        <v>66063</v>
      </c>
      <c r="N6" s="119">
        <v>19306</v>
      </c>
      <c r="O6" s="100">
        <v>35869</v>
      </c>
      <c r="P6" s="96">
        <v>8693</v>
      </c>
      <c r="Q6" s="97">
        <v>22915</v>
      </c>
      <c r="R6" s="96"/>
      <c r="S6" s="97">
        <v>63181</v>
      </c>
      <c r="T6" s="96">
        <v>12025</v>
      </c>
      <c r="U6" s="97">
        <v>29219</v>
      </c>
      <c r="V6" s="119">
        <v>417595</v>
      </c>
      <c r="W6" s="100">
        <v>581016</v>
      </c>
      <c r="X6" s="743">
        <v>346184</v>
      </c>
      <c r="Y6" s="97">
        <v>562092</v>
      </c>
      <c r="Z6" s="746">
        <v>11440</v>
      </c>
      <c r="AA6" s="101">
        <v>20461</v>
      </c>
      <c r="AB6" s="743">
        <v>65734</v>
      </c>
      <c r="AC6" s="97">
        <v>112022</v>
      </c>
      <c r="AD6" s="743">
        <v>156536</v>
      </c>
      <c r="AE6" s="97">
        <v>222241</v>
      </c>
      <c r="AF6" s="743">
        <v>147916</v>
      </c>
      <c r="AG6" s="92">
        <v>317001</v>
      </c>
      <c r="AH6" s="743">
        <v>86469</v>
      </c>
      <c r="AI6" s="97">
        <v>180495</v>
      </c>
      <c r="AJ6" s="743">
        <v>21481</v>
      </c>
      <c r="AK6" s="97">
        <v>37187</v>
      </c>
      <c r="AL6" s="743"/>
      <c r="AM6" s="877"/>
      <c r="AN6" s="719">
        <v>321277</v>
      </c>
      <c r="AO6" s="200">
        <v>552210</v>
      </c>
      <c r="AP6" s="754">
        <v>40005</v>
      </c>
      <c r="AQ6" s="756">
        <v>54088</v>
      </c>
      <c r="AR6" s="713">
        <v>53389</v>
      </c>
      <c r="AS6" s="111">
        <v>68824</v>
      </c>
      <c r="AT6" s="119">
        <v>94150</v>
      </c>
      <c r="AU6" s="100">
        <v>178888</v>
      </c>
      <c r="AV6" s="122">
        <f t="shared" ref="AV6:AW8" si="0">SUM(B6+D6+F6+H6+J6+L6+N6+P6+R6+T6+V6+X6+Z6+AB6+AD6+AF6+AH6+AJ6+AL6+AN6+AP6+AR6+AT6)</f>
        <v>2151080</v>
      </c>
      <c r="AW6" s="123">
        <f t="shared" si="0"/>
        <v>3590998</v>
      </c>
      <c r="AX6" s="713">
        <v>2381240</v>
      </c>
      <c r="AY6" s="111">
        <v>3657849</v>
      </c>
      <c r="AZ6" s="122">
        <f t="shared" ref="AZ6:BA8" si="1">AV6+AX6</f>
        <v>4532320</v>
      </c>
      <c r="BA6" s="123">
        <f t="shared" si="1"/>
        <v>7248847</v>
      </c>
    </row>
    <row r="7" spans="1:53" s="93" customFormat="1" ht="14.25" x14ac:dyDescent="0.3">
      <c r="A7" s="395" t="s">
        <v>32</v>
      </c>
      <c r="B7" s="736">
        <v>86435</v>
      </c>
      <c r="C7" s="94">
        <v>148772</v>
      </c>
      <c r="D7" s="96">
        <v>1043</v>
      </c>
      <c r="E7" s="100">
        <v>3440</v>
      </c>
      <c r="F7" s="99">
        <v>30708</v>
      </c>
      <c r="G7" s="100">
        <v>26563</v>
      </c>
      <c r="H7" s="99">
        <v>209955</v>
      </c>
      <c r="I7" s="100">
        <v>195999</v>
      </c>
      <c r="J7" s="119">
        <v>10506</v>
      </c>
      <c r="K7" s="100">
        <v>5938</v>
      </c>
      <c r="L7" s="119">
        <v>17122</v>
      </c>
      <c r="M7" s="100">
        <v>24208</v>
      </c>
      <c r="N7" s="119">
        <v>7627</v>
      </c>
      <c r="O7" s="100">
        <v>6048</v>
      </c>
      <c r="P7" s="96">
        <v>625</v>
      </c>
      <c r="Q7" s="97">
        <v>367</v>
      </c>
      <c r="R7" s="96"/>
      <c r="S7" s="97">
        <v>77940</v>
      </c>
      <c r="T7" s="96">
        <v>5430</v>
      </c>
      <c r="U7" s="97">
        <v>6666</v>
      </c>
      <c r="V7" s="119">
        <v>776046</v>
      </c>
      <c r="W7" s="100">
        <v>900275</v>
      </c>
      <c r="X7" s="743">
        <v>370648</v>
      </c>
      <c r="Y7" s="97">
        <v>415469</v>
      </c>
      <c r="Z7" s="746">
        <v>33263</v>
      </c>
      <c r="AA7" s="101">
        <v>33805</v>
      </c>
      <c r="AB7" s="743">
        <v>36992</v>
      </c>
      <c r="AC7" s="97">
        <v>13184</v>
      </c>
      <c r="AD7" s="743">
        <v>193438</v>
      </c>
      <c r="AE7" s="97">
        <v>205254</v>
      </c>
      <c r="AF7" s="743">
        <v>105782</v>
      </c>
      <c r="AG7" s="92">
        <v>96590</v>
      </c>
      <c r="AH7" s="743">
        <v>48844</v>
      </c>
      <c r="AI7" s="97">
        <v>32566</v>
      </c>
      <c r="AJ7" s="743">
        <v>60972</v>
      </c>
      <c r="AK7" s="97">
        <v>96244</v>
      </c>
      <c r="AL7" s="743"/>
      <c r="AM7" s="877"/>
      <c r="AN7" s="719">
        <v>716937</v>
      </c>
      <c r="AO7" s="200">
        <v>972544</v>
      </c>
      <c r="AP7" s="754">
        <v>15368</v>
      </c>
      <c r="AQ7" s="756">
        <v>14501</v>
      </c>
      <c r="AR7" s="713">
        <v>49768</v>
      </c>
      <c r="AS7" s="111">
        <v>56891</v>
      </c>
      <c r="AT7" s="119">
        <v>60826</v>
      </c>
      <c r="AU7" s="100">
        <v>72630</v>
      </c>
      <c r="AV7" s="122">
        <f t="shared" si="0"/>
        <v>2838335</v>
      </c>
      <c r="AW7" s="123">
        <f t="shared" si="0"/>
        <v>3405894</v>
      </c>
      <c r="AX7" s="713">
        <v>18504390</v>
      </c>
      <c r="AY7" s="111">
        <v>20552653</v>
      </c>
      <c r="AZ7" s="122">
        <f t="shared" si="1"/>
        <v>21342725</v>
      </c>
      <c r="BA7" s="123">
        <f t="shared" si="1"/>
        <v>23958547</v>
      </c>
    </row>
    <row r="8" spans="1:53" s="93" customFormat="1" ht="14.25" x14ac:dyDescent="0.3">
      <c r="A8" s="395" t="s">
        <v>33</v>
      </c>
      <c r="B8" s="736">
        <v>3034</v>
      </c>
      <c r="C8" s="94">
        <v>2271</v>
      </c>
      <c r="D8" s="96">
        <v>2</v>
      </c>
      <c r="E8" s="100">
        <v>2</v>
      </c>
      <c r="F8" s="99">
        <v>5436</v>
      </c>
      <c r="G8" s="100">
        <v>4961</v>
      </c>
      <c r="H8" s="99">
        <v>4000</v>
      </c>
      <c r="I8" s="100">
        <v>2291</v>
      </c>
      <c r="J8" s="119"/>
      <c r="K8" s="100"/>
      <c r="L8" s="119">
        <v>4976</v>
      </c>
      <c r="M8" s="100">
        <v>3652</v>
      </c>
      <c r="N8" s="99">
        <v>9</v>
      </c>
      <c r="O8" s="100">
        <v>3</v>
      </c>
      <c r="P8" s="96">
        <v>357</v>
      </c>
      <c r="Q8" s="97">
        <v>239</v>
      </c>
      <c r="R8" s="96"/>
      <c r="S8" s="97">
        <v>1124</v>
      </c>
      <c r="T8" s="96">
        <v>77</v>
      </c>
      <c r="U8" s="97">
        <v>68</v>
      </c>
      <c r="V8" s="119">
        <v>100908</v>
      </c>
      <c r="W8" s="100">
        <v>69167</v>
      </c>
      <c r="X8" s="743">
        <v>53766</v>
      </c>
      <c r="Y8" s="97">
        <v>41568</v>
      </c>
      <c r="Z8" s="746">
        <v>427</v>
      </c>
      <c r="AA8" s="101">
        <v>291</v>
      </c>
      <c r="AB8" s="743">
        <v>240</v>
      </c>
      <c r="AC8" s="97">
        <v>79</v>
      </c>
      <c r="AD8" s="743">
        <v>7522</v>
      </c>
      <c r="AE8" s="97">
        <v>4799</v>
      </c>
      <c r="AF8" s="743">
        <v>7730</v>
      </c>
      <c r="AG8" s="92">
        <v>3092</v>
      </c>
      <c r="AH8" s="743">
        <v>5638</v>
      </c>
      <c r="AI8" s="97">
        <v>4688</v>
      </c>
      <c r="AJ8" s="743">
        <v>998</v>
      </c>
      <c r="AK8" s="97">
        <v>873</v>
      </c>
      <c r="AL8" s="743"/>
      <c r="AM8" s="877"/>
      <c r="AN8" s="719">
        <v>75222</v>
      </c>
      <c r="AO8" s="200">
        <v>54472</v>
      </c>
      <c r="AP8" s="754">
        <v>552</v>
      </c>
      <c r="AQ8" s="756">
        <v>323</v>
      </c>
      <c r="AR8" s="713">
        <v>2613</v>
      </c>
      <c r="AS8" s="111">
        <v>2379</v>
      </c>
      <c r="AT8" s="119">
        <v>6222</v>
      </c>
      <c r="AU8" s="100">
        <v>2812</v>
      </c>
      <c r="AV8" s="122">
        <f t="shared" si="0"/>
        <v>279729</v>
      </c>
      <c r="AW8" s="123">
        <f t="shared" si="0"/>
        <v>199154</v>
      </c>
      <c r="AX8" s="713">
        <v>1789271</v>
      </c>
      <c r="AY8" s="111">
        <v>1625720</v>
      </c>
      <c r="AZ8" s="122">
        <f t="shared" si="1"/>
        <v>2069000</v>
      </c>
      <c r="BA8" s="123">
        <f t="shared" si="1"/>
        <v>1824874</v>
      </c>
    </row>
    <row r="9" spans="1:53" s="93" customFormat="1" ht="14.25" x14ac:dyDescent="0.3">
      <c r="A9" s="395" t="s">
        <v>34</v>
      </c>
      <c r="B9" s="736"/>
      <c r="C9" s="94"/>
      <c r="D9" s="96"/>
      <c r="E9" s="100"/>
      <c r="F9" s="99"/>
      <c r="G9" s="100"/>
      <c r="H9" s="99"/>
      <c r="I9" s="100"/>
      <c r="J9" s="119"/>
      <c r="K9" s="100"/>
      <c r="L9" s="119"/>
      <c r="M9" s="100"/>
      <c r="N9" s="99"/>
      <c r="O9" s="100"/>
      <c r="P9" s="96"/>
      <c r="Q9" s="97"/>
      <c r="R9" s="96"/>
      <c r="S9" s="97"/>
      <c r="T9" s="96"/>
      <c r="U9" s="97"/>
      <c r="V9" s="107"/>
      <c r="W9" s="100"/>
      <c r="X9" s="743"/>
      <c r="Y9" s="97"/>
      <c r="Z9" s="746"/>
      <c r="AA9" s="101"/>
      <c r="AB9" s="743"/>
      <c r="AC9" s="97"/>
      <c r="AD9" s="743"/>
      <c r="AE9" s="97"/>
      <c r="AF9" s="743"/>
      <c r="AG9" s="92"/>
      <c r="AH9" s="743"/>
      <c r="AI9" s="97"/>
      <c r="AJ9" s="743"/>
      <c r="AK9" s="97"/>
      <c r="AL9" s="743"/>
      <c r="AM9" s="877"/>
      <c r="AN9" s="98"/>
      <c r="AO9" s="100"/>
      <c r="AP9" s="754"/>
      <c r="AQ9" s="756"/>
      <c r="AR9" s="713"/>
      <c r="AS9" s="111"/>
      <c r="AT9" s="119"/>
      <c r="AU9" s="100">
        <f>14103</f>
        <v>14103</v>
      </c>
      <c r="AV9" s="122"/>
      <c r="AW9" s="123"/>
      <c r="AX9" s="713"/>
      <c r="AY9" s="111"/>
      <c r="AZ9" s="122"/>
      <c r="BA9" s="123"/>
    </row>
    <row r="10" spans="1:53" s="93" customFormat="1" ht="14.25" x14ac:dyDescent="0.3">
      <c r="A10" s="395" t="s">
        <v>35</v>
      </c>
      <c r="B10" s="737">
        <f>5622+22381</f>
        <v>28003</v>
      </c>
      <c r="C10" s="125">
        <f>19250+4389</f>
        <v>23639</v>
      </c>
      <c r="D10" s="104">
        <v>5560</v>
      </c>
      <c r="E10" s="116">
        <v>1937</v>
      </c>
      <c r="F10" s="115">
        <v>7743</v>
      </c>
      <c r="G10" s="116">
        <v>9553</v>
      </c>
      <c r="H10" s="115">
        <v>41543</v>
      </c>
      <c r="I10" s="116">
        <f>44657</f>
        <v>44657</v>
      </c>
      <c r="J10" s="122">
        <v>23037</v>
      </c>
      <c r="K10" s="116">
        <v>17535</v>
      </c>
      <c r="L10" s="122">
        <v>5178</v>
      </c>
      <c r="M10" s="116">
        <v>2043</v>
      </c>
      <c r="N10" s="115">
        <v>284</v>
      </c>
      <c r="O10" s="116">
        <v>745</v>
      </c>
      <c r="P10" s="104">
        <v>2583</v>
      </c>
      <c r="Q10" s="126">
        <v>1653</v>
      </c>
      <c r="R10" s="104"/>
      <c r="S10" s="126"/>
      <c r="T10" s="104">
        <v>5145</v>
      </c>
      <c r="U10" s="126">
        <v>2805</v>
      </c>
      <c r="V10" s="122">
        <v>39169</v>
      </c>
      <c r="W10" s="116">
        <v>3943</v>
      </c>
      <c r="X10" s="744">
        <v>53658</v>
      </c>
      <c r="Y10" s="146">
        <v>45020</v>
      </c>
      <c r="Z10" s="746">
        <v>24272</v>
      </c>
      <c r="AA10" s="101">
        <v>22687</v>
      </c>
      <c r="AB10" s="744">
        <v>12968</v>
      </c>
      <c r="AC10" s="126">
        <v>11034</v>
      </c>
      <c r="AD10" s="749">
        <v>47587</v>
      </c>
      <c r="AE10" s="750">
        <v>37141</v>
      </c>
      <c r="AF10" s="744">
        <v>31713</v>
      </c>
      <c r="AG10" s="92">
        <v>24733</v>
      </c>
      <c r="AH10" s="744">
        <v>48313</v>
      </c>
      <c r="AI10" s="126">
        <v>38874</v>
      </c>
      <c r="AJ10" s="744">
        <v>60392</v>
      </c>
      <c r="AK10" s="126">
        <v>54225</v>
      </c>
      <c r="AL10" s="743"/>
      <c r="AM10" s="877"/>
      <c r="AN10" s="719">
        <v>125630</v>
      </c>
      <c r="AO10" s="200">
        <v>128386</v>
      </c>
      <c r="AP10" s="754">
        <v>4879</v>
      </c>
      <c r="AQ10" s="756">
        <v>5006</v>
      </c>
      <c r="AR10" s="713">
        <v>5336</v>
      </c>
      <c r="AS10" s="111">
        <v>9653</v>
      </c>
      <c r="AT10" s="122">
        <f>39566+43829</f>
        <v>83395</v>
      </c>
      <c r="AU10" s="116">
        <f>28701+40426</f>
        <v>69127</v>
      </c>
      <c r="AV10" s="122">
        <f t="shared" ref="AV10:AV15" si="2">SUM(B10+D10+F10+H10+J10+L10+N10+P10+R10+T10+V10+X10+Z10+AB10+AD10+AF10+AH10+AJ10+AL10+AN10+AP10+AR10+AT10)</f>
        <v>656388</v>
      </c>
      <c r="AW10" s="123">
        <f>SUM(C10+E10+G10+I10+K10+M10+O10+Q10+S10+U10+W10+Y11+AA10+AC10+AE10+AG10+AI10+AK10+AM10+AO10+AQ10+AS10+AU10)</f>
        <v>2550043</v>
      </c>
      <c r="AX10" s="122"/>
      <c r="AY10" s="116"/>
      <c r="AZ10" s="122">
        <f t="shared" ref="AZ10:BA15" si="3">AV10+AX10</f>
        <v>656388</v>
      </c>
      <c r="BA10" s="123">
        <f t="shared" si="3"/>
        <v>2550043</v>
      </c>
    </row>
    <row r="11" spans="1:53" s="1085" customFormat="1" ht="14.25" x14ac:dyDescent="0.3">
      <c r="A11" s="927" t="s">
        <v>36</v>
      </c>
      <c r="B11" s="1231">
        <v>411721</v>
      </c>
      <c r="C11" s="1232">
        <v>420470</v>
      </c>
      <c r="D11" s="1233">
        <v>25305</v>
      </c>
      <c r="E11" s="1218">
        <v>20573</v>
      </c>
      <c r="F11" s="1234">
        <v>58920</v>
      </c>
      <c r="G11" s="1218">
        <v>65330</v>
      </c>
      <c r="H11" s="1234">
        <v>815077</v>
      </c>
      <c r="I11" s="1218">
        <v>432933</v>
      </c>
      <c r="J11" s="1230">
        <v>32788</v>
      </c>
      <c r="K11" s="1218">
        <v>23330</v>
      </c>
      <c r="L11" s="1230">
        <v>147400</v>
      </c>
      <c r="M11" s="1218">
        <v>146285</v>
      </c>
      <c r="N11" s="1234">
        <v>22289</v>
      </c>
      <c r="O11" s="1218">
        <v>20385</v>
      </c>
      <c r="P11" s="1233">
        <v>30600</v>
      </c>
      <c r="Q11" s="1229">
        <v>19105</v>
      </c>
      <c r="R11" s="1233"/>
      <c r="S11" s="1229">
        <v>74671</v>
      </c>
      <c r="T11" s="1233">
        <v>27495</v>
      </c>
      <c r="U11" s="1229">
        <v>22832</v>
      </c>
      <c r="V11" s="1230">
        <v>924883</v>
      </c>
      <c r="W11" s="1218">
        <v>896809</v>
      </c>
      <c r="X11" s="1235">
        <v>2355211</v>
      </c>
      <c r="Y11" s="1229">
        <v>2040667</v>
      </c>
      <c r="Z11" s="1235">
        <v>54126</v>
      </c>
      <c r="AA11" s="1229">
        <v>31872</v>
      </c>
      <c r="AB11" s="1235">
        <v>267195</v>
      </c>
      <c r="AC11" s="1229">
        <v>297995</v>
      </c>
      <c r="AD11" s="1235">
        <v>216673</v>
      </c>
      <c r="AE11" s="1229">
        <v>144141</v>
      </c>
      <c r="AF11" s="1235">
        <v>603667</v>
      </c>
      <c r="AG11" s="996">
        <v>477399</v>
      </c>
      <c r="AH11" s="1235">
        <v>130486</v>
      </c>
      <c r="AI11" s="1229">
        <v>115178</v>
      </c>
      <c r="AJ11" s="1235">
        <v>101272</v>
      </c>
      <c r="AK11" s="1229">
        <v>125773</v>
      </c>
      <c r="AL11" s="1235"/>
      <c r="AM11" s="1236"/>
      <c r="AN11" s="679">
        <v>906653</v>
      </c>
      <c r="AO11" s="1218">
        <v>710158</v>
      </c>
      <c r="AP11" s="1237">
        <v>14979</v>
      </c>
      <c r="AQ11" s="1238">
        <v>13961</v>
      </c>
      <c r="AR11" s="691">
        <v>45265</v>
      </c>
      <c r="AS11" s="1239">
        <v>39228</v>
      </c>
      <c r="AT11" s="1230">
        <v>254273</v>
      </c>
      <c r="AU11" s="1218">
        <v>174759</v>
      </c>
      <c r="AV11" s="1230">
        <f t="shared" si="2"/>
        <v>7446278</v>
      </c>
      <c r="AW11" s="686">
        <f>SUM(C11+E11+G11+I11+K11+M11+O11+Q11+S11+U11+W11+Y12+AA11+AC11+AE11+AG11+AI11+AK11+AM11+AO11+AQ11+AS11+AU11)</f>
        <v>4273187</v>
      </c>
      <c r="AX11" s="691">
        <v>3826509</v>
      </c>
      <c r="AY11" s="1239">
        <v>3812042</v>
      </c>
      <c r="AZ11" s="1230">
        <f t="shared" si="3"/>
        <v>11272787</v>
      </c>
      <c r="BA11" s="686">
        <f t="shared" si="3"/>
        <v>8085229</v>
      </c>
    </row>
    <row r="12" spans="1:53" s="93" customFormat="1" ht="14.25" x14ac:dyDescent="0.3">
      <c r="A12" s="395" t="s">
        <v>37</v>
      </c>
      <c r="B12" s="736"/>
      <c r="C12" s="94"/>
      <c r="D12" s="96"/>
      <c r="E12" s="100"/>
      <c r="F12" s="99"/>
      <c r="G12" s="100"/>
      <c r="H12" s="99"/>
      <c r="I12" s="100"/>
      <c r="J12" s="119"/>
      <c r="K12" s="100"/>
      <c r="L12" s="119"/>
      <c r="M12" s="100"/>
      <c r="N12" s="99"/>
      <c r="O12" s="100"/>
      <c r="P12" s="96"/>
      <c r="Q12" s="97"/>
      <c r="R12" s="96"/>
      <c r="S12" s="97"/>
      <c r="T12" s="96"/>
      <c r="U12" s="97"/>
      <c r="V12" s="119">
        <v>244485</v>
      </c>
      <c r="W12" s="100">
        <v>261756</v>
      </c>
      <c r="X12" s="743"/>
      <c r="Y12" s="97"/>
      <c r="Z12" s="743"/>
      <c r="AA12" s="97"/>
      <c r="AB12" s="743"/>
      <c r="AC12" s="97"/>
      <c r="AD12" s="743">
        <v>35826</v>
      </c>
      <c r="AE12" s="97">
        <v>22205</v>
      </c>
      <c r="AF12" s="743"/>
      <c r="AG12" s="92"/>
      <c r="AH12" s="743"/>
      <c r="AI12" s="97"/>
      <c r="AJ12" s="743"/>
      <c r="AK12" s="97"/>
      <c r="AL12" s="743"/>
      <c r="AM12" s="877"/>
      <c r="AN12" s="719">
        <v>360779</v>
      </c>
      <c r="AO12" s="200">
        <v>356582</v>
      </c>
      <c r="AP12" s="754"/>
      <c r="AQ12" s="756"/>
      <c r="AR12" s="713"/>
      <c r="AS12" s="111"/>
      <c r="AT12" s="119"/>
      <c r="AU12" s="100"/>
      <c r="AV12" s="122">
        <f t="shared" si="2"/>
        <v>641090</v>
      </c>
      <c r="AW12" s="123">
        <f>SUM(C12+E12+G12+I12+K12+M12+O12+Q12+S12+U12+W12+Y12+AA12+AC12+AE12+AG12+AI12+AK12+AM12+AO12+AQ12+AS12+AU12)</f>
        <v>640543</v>
      </c>
      <c r="AX12" s="713"/>
      <c r="AY12" s="111"/>
      <c r="AZ12" s="122">
        <f t="shared" si="3"/>
        <v>641090</v>
      </c>
      <c r="BA12" s="123">
        <f t="shared" si="3"/>
        <v>640543</v>
      </c>
    </row>
    <row r="13" spans="1:53" s="93" customFormat="1" ht="14.25" x14ac:dyDescent="0.3">
      <c r="A13" s="395" t="s">
        <v>38</v>
      </c>
      <c r="B13" s="736"/>
      <c r="C13" s="94"/>
      <c r="D13" s="96">
        <v>192</v>
      </c>
      <c r="E13" s="100">
        <v>195</v>
      </c>
      <c r="F13" s="99"/>
      <c r="G13" s="100"/>
      <c r="H13" s="99"/>
      <c r="I13" s="100"/>
      <c r="J13" s="119"/>
      <c r="K13" s="100"/>
      <c r="L13" s="119">
        <v>101126</v>
      </c>
      <c r="M13" s="100">
        <v>38627</v>
      </c>
      <c r="N13" s="99"/>
      <c r="O13" s="100"/>
      <c r="P13" s="96">
        <v>4448</v>
      </c>
      <c r="Q13" s="97">
        <v>869</v>
      </c>
      <c r="R13" s="96"/>
      <c r="S13" s="97"/>
      <c r="T13" s="96">
        <v>1029</v>
      </c>
      <c r="U13" s="97">
        <v>878</v>
      </c>
      <c r="V13" s="119">
        <v>1214939</v>
      </c>
      <c r="W13" s="100">
        <v>479977</v>
      </c>
      <c r="X13" s="743"/>
      <c r="Y13" s="97"/>
      <c r="Z13" s="743">
        <v>14640</v>
      </c>
      <c r="AA13" s="97">
        <v>7050</v>
      </c>
      <c r="AB13" s="743"/>
      <c r="AC13" s="97"/>
      <c r="AD13" s="743"/>
      <c r="AE13" s="97"/>
      <c r="AF13" s="743"/>
      <c r="AG13" s="92"/>
      <c r="AH13" s="743"/>
      <c r="AI13" s="97"/>
      <c r="AJ13" s="743"/>
      <c r="AK13" s="97"/>
      <c r="AL13" s="743"/>
      <c r="AM13" s="877"/>
      <c r="AN13" s="719">
        <v>518340</v>
      </c>
      <c r="AO13" s="200">
        <v>413562</v>
      </c>
      <c r="AP13" s="754">
        <v>23</v>
      </c>
      <c r="AQ13" s="756">
        <v>43</v>
      </c>
      <c r="AR13" s="713"/>
      <c r="AS13" s="111"/>
      <c r="AT13" s="119"/>
      <c r="AU13" s="100"/>
      <c r="AV13" s="122">
        <f t="shared" si="2"/>
        <v>1854737</v>
      </c>
      <c r="AW13" s="123">
        <f>SUM(C13+E13+G13+I13+K13+M13+O13+Q13+S13+U13+W13+Y13+AA13+AC13+AE13+AG13+AI13+AK13+AM13+AO13+AQ13+AS13+AU13)</f>
        <v>941201</v>
      </c>
      <c r="AX13" s="713">
        <v>7363106</v>
      </c>
      <c r="AY13" s="111">
        <v>5699762</v>
      </c>
      <c r="AZ13" s="122">
        <f t="shared" si="3"/>
        <v>9217843</v>
      </c>
      <c r="BA13" s="123">
        <f t="shared" si="3"/>
        <v>6640963</v>
      </c>
    </row>
    <row r="14" spans="1:53" s="93" customFormat="1" ht="14.25" x14ac:dyDescent="0.3">
      <c r="A14" s="395" t="s">
        <v>39</v>
      </c>
      <c r="B14" s="737">
        <v>702</v>
      </c>
      <c r="C14" s="125">
        <v>936</v>
      </c>
      <c r="D14" s="104">
        <v>201</v>
      </c>
      <c r="E14" s="116">
        <v>957</v>
      </c>
      <c r="F14" s="115">
        <v>14</v>
      </c>
      <c r="G14" s="116">
        <v>116</v>
      </c>
      <c r="H14" s="115">
        <v>2412</v>
      </c>
      <c r="I14" s="116">
        <v>1634</v>
      </c>
      <c r="J14" s="122">
        <v>1207</v>
      </c>
      <c r="K14" s="116">
        <v>945</v>
      </c>
      <c r="L14" s="122"/>
      <c r="M14" s="116"/>
      <c r="N14" s="115"/>
      <c r="O14" s="116"/>
      <c r="P14" s="104"/>
      <c r="Q14" s="126"/>
      <c r="R14" s="104"/>
      <c r="S14" s="126"/>
      <c r="T14" s="104"/>
      <c r="U14" s="126">
        <v>3</v>
      </c>
      <c r="V14" s="122"/>
      <c r="W14" s="116"/>
      <c r="X14" s="744">
        <v>967</v>
      </c>
      <c r="Y14" s="126">
        <v>760</v>
      </c>
      <c r="Z14" s="746">
        <v>102</v>
      </c>
      <c r="AA14" s="101">
        <v>253</v>
      </c>
      <c r="AB14" s="744"/>
      <c r="AC14" s="126"/>
      <c r="AD14" s="749">
        <v>313</v>
      </c>
      <c r="AE14" s="750">
        <v>258</v>
      </c>
      <c r="AF14" s="744"/>
      <c r="AG14" s="92"/>
      <c r="AH14" s="744"/>
      <c r="AI14" s="126"/>
      <c r="AJ14" s="744">
        <v>84</v>
      </c>
      <c r="AK14" s="126">
        <v>50</v>
      </c>
      <c r="AL14" s="743"/>
      <c r="AM14" s="877"/>
      <c r="AN14" s="719">
        <v>1029</v>
      </c>
      <c r="AO14" s="200">
        <v>1662</v>
      </c>
      <c r="AP14" s="754">
        <v>630</v>
      </c>
      <c r="AQ14" s="756">
        <v>606</v>
      </c>
      <c r="AR14" s="713">
        <v>17</v>
      </c>
      <c r="AS14" s="111">
        <v>128</v>
      </c>
      <c r="AT14" s="122"/>
      <c r="AU14" s="116"/>
      <c r="AV14" s="122">
        <f t="shared" si="2"/>
        <v>7678</v>
      </c>
      <c r="AW14" s="123">
        <f>SUM(C14+E14+G14+I14+K14+M14+O14+Q14+S14+U14+W14+Y14+AA14+AC14+AE14+AG14+AI14+AK14+AM14+AO14+AQ14+AS14+AU14)</f>
        <v>8308</v>
      </c>
      <c r="AX14" s="122"/>
      <c r="AY14" s="116"/>
      <c r="AZ14" s="122">
        <f t="shared" si="3"/>
        <v>7678</v>
      </c>
      <c r="BA14" s="123">
        <f t="shared" si="3"/>
        <v>8308</v>
      </c>
    </row>
    <row r="15" spans="1:53" s="93" customFormat="1" ht="14.25" x14ac:dyDescent="0.3">
      <c r="A15" s="395" t="s">
        <v>40</v>
      </c>
      <c r="B15" s="736">
        <v>287</v>
      </c>
      <c r="C15" s="94">
        <v>37</v>
      </c>
      <c r="D15" s="96">
        <v>68</v>
      </c>
      <c r="E15" s="100">
        <v>88</v>
      </c>
      <c r="F15" s="99">
        <v>148</v>
      </c>
      <c r="G15" s="100">
        <v>280</v>
      </c>
      <c r="H15" s="99">
        <v>482</v>
      </c>
      <c r="I15" s="100">
        <v>706</v>
      </c>
      <c r="J15" s="119">
        <v>231</v>
      </c>
      <c r="K15" s="100">
        <v>162</v>
      </c>
      <c r="L15" s="119"/>
      <c r="M15" s="100">
        <v>30</v>
      </c>
      <c r="N15" s="99">
        <v>19</v>
      </c>
      <c r="O15" s="100">
        <v>411</v>
      </c>
      <c r="P15" s="96">
        <v>125</v>
      </c>
      <c r="Q15" s="97">
        <v>49</v>
      </c>
      <c r="R15" s="96"/>
      <c r="S15" s="97"/>
      <c r="T15" s="96">
        <v>183</v>
      </c>
      <c r="U15" s="97">
        <v>155</v>
      </c>
      <c r="V15" s="119">
        <v>4020</v>
      </c>
      <c r="W15" s="100">
        <v>3381</v>
      </c>
      <c r="X15" s="743">
        <v>11318</v>
      </c>
      <c r="Y15" s="97">
        <v>14299</v>
      </c>
      <c r="Z15" s="746"/>
      <c r="AA15" s="101"/>
      <c r="AB15" s="743">
        <v>55</v>
      </c>
      <c r="AC15" s="97">
        <v>165</v>
      </c>
      <c r="AD15" s="743">
        <v>267</v>
      </c>
      <c r="AE15" s="97">
        <v>44</v>
      </c>
      <c r="AF15" s="743">
        <v>1475</v>
      </c>
      <c r="AG15" s="92">
        <v>6284</v>
      </c>
      <c r="AH15" s="743">
        <v>527</v>
      </c>
      <c r="AI15" s="97">
        <v>662</v>
      </c>
      <c r="AJ15" s="743">
        <v>153</v>
      </c>
      <c r="AK15" s="97">
        <v>118</v>
      </c>
      <c r="AL15" s="743"/>
      <c r="AM15" s="877"/>
      <c r="AN15" s="719">
        <v>14382</v>
      </c>
      <c r="AO15" s="200">
        <v>11149</v>
      </c>
      <c r="AP15" s="754"/>
      <c r="AQ15" s="756"/>
      <c r="AR15" s="713">
        <v>387</v>
      </c>
      <c r="AS15" s="111">
        <v>226</v>
      </c>
      <c r="AT15" s="119">
        <v>36</v>
      </c>
      <c r="AU15" s="100">
        <v>165</v>
      </c>
      <c r="AV15" s="122">
        <f t="shared" si="2"/>
        <v>34163</v>
      </c>
      <c r="AW15" s="123">
        <f>SUM(C15+E15+G15+I15+K15+M15+O15+Q15+S15+U15+W15+Y15+AA15+AC15+AE15+AG15+AI15+AK15+AM15+AO15+AQ15+AS15+AU15)</f>
        <v>38411</v>
      </c>
      <c r="AX15" s="119">
        <f>1225+1782+1193+300</f>
        <v>4500</v>
      </c>
      <c r="AY15" s="100">
        <f>1614+1442+1371+215</f>
        <v>4642</v>
      </c>
      <c r="AZ15" s="122">
        <f t="shared" si="3"/>
        <v>38663</v>
      </c>
      <c r="BA15" s="123">
        <f t="shared" si="3"/>
        <v>43053</v>
      </c>
    </row>
    <row r="16" spans="1:53" s="93" customFormat="1" ht="15" customHeight="1" x14ac:dyDescent="0.3">
      <c r="A16" s="395" t="s">
        <v>41</v>
      </c>
      <c r="B16" s="736"/>
      <c r="C16" s="94"/>
      <c r="D16" s="96"/>
      <c r="E16" s="100"/>
      <c r="F16" s="99"/>
      <c r="G16" s="100"/>
      <c r="H16" s="99"/>
      <c r="I16" s="100"/>
      <c r="J16" s="119"/>
      <c r="K16" s="100"/>
      <c r="L16" s="119"/>
      <c r="M16" s="100"/>
      <c r="N16" s="99"/>
      <c r="O16" s="100"/>
      <c r="P16" s="96"/>
      <c r="Q16" s="97"/>
      <c r="R16" s="96"/>
      <c r="S16" s="97"/>
      <c r="T16" s="96"/>
      <c r="U16" s="97"/>
      <c r="V16" s="119"/>
      <c r="W16" s="100"/>
      <c r="X16" s="743"/>
      <c r="Y16" s="97"/>
      <c r="Z16" s="746"/>
      <c r="AA16" s="101"/>
      <c r="AB16" s="743"/>
      <c r="AC16" s="97"/>
      <c r="AD16" s="743"/>
      <c r="AE16" s="97"/>
      <c r="AF16" s="743"/>
      <c r="AG16" s="92"/>
      <c r="AH16" s="743"/>
      <c r="AI16" s="97"/>
      <c r="AJ16" s="743"/>
      <c r="AK16" s="97"/>
      <c r="AL16" s="743"/>
      <c r="AM16" s="877"/>
      <c r="AN16" s="719"/>
      <c r="AO16" s="200"/>
      <c r="AP16" s="754"/>
      <c r="AQ16" s="756"/>
      <c r="AR16" s="713"/>
      <c r="AS16" s="111"/>
      <c r="AT16" s="119"/>
      <c r="AU16" s="100"/>
      <c r="AV16" s="122"/>
      <c r="AW16" s="123"/>
      <c r="AX16" s="119">
        <v>3602</v>
      </c>
      <c r="AY16" s="100">
        <v>2271</v>
      </c>
      <c r="AZ16" s="122">
        <f t="shared" ref="AZ16:AZ22" si="4">AV16+AX16</f>
        <v>3602</v>
      </c>
      <c r="BA16" s="123"/>
    </row>
    <row r="17" spans="1:53" s="93" customFormat="1" ht="14.25" x14ac:dyDescent="0.3">
      <c r="A17" s="395" t="s">
        <v>42</v>
      </c>
      <c r="B17" s="736"/>
      <c r="C17" s="94"/>
      <c r="D17" s="96"/>
      <c r="E17" s="100"/>
      <c r="F17" s="99"/>
      <c r="G17" s="100"/>
      <c r="H17" s="99"/>
      <c r="I17" s="100"/>
      <c r="J17" s="119"/>
      <c r="K17" s="100"/>
      <c r="L17" s="119"/>
      <c r="M17" s="100"/>
      <c r="N17" s="99"/>
      <c r="O17" s="100"/>
      <c r="P17" s="96"/>
      <c r="Q17" s="97"/>
      <c r="R17" s="96"/>
      <c r="S17" s="97">
        <f>3098+12288</f>
        <v>15386</v>
      </c>
      <c r="T17" s="96"/>
      <c r="U17" s="97"/>
      <c r="V17" s="119"/>
      <c r="W17" s="100"/>
      <c r="X17" s="743"/>
      <c r="Y17" s="97"/>
      <c r="Z17" s="746"/>
      <c r="AA17" s="101"/>
      <c r="AB17" s="743"/>
      <c r="AC17" s="97"/>
      <c r="AD17" s="743"/>
      <c r="AE17" s="97"/>
      <c r="AF17" s="743">
        <v>126530</v>
      </c>
      <c r="AG17" s="92">
        <v>118129</v>
      </c>
      <c r="AH17" s="743"/>
      <c r="AI17" s="97"/>
      <c r="AJ17" s="743"/>
      <c r="AK17" s="97"/>
      <c r="AL17" s="743"/>
      <c r="AM17" s="877"/>
      <c r="AN17" s="719"/>
      <c r="AO17" s="200"/>
      <c r="AP17" s="754">
        <v>38</v>
      </c>
      <c r="AQ17" s="756">
        <v>39</v>
      </c>
      <c r="AR17" s="713"/>
      <c r="AS17" s="111"/>
      <c r="AT17" s="119"/>
      <c r="AU17" s="100"/>
      <c r="AV17" s="122">
        <f t="shared" ref="AV17:AW22" si="5">SUM(B17+D17+F17+H17+J17+L17+N17+P17+R17+T17+V17+X17+Z17+AB17+AD17+AF17+AH17+AJ17+AL17+AN17+AP17+AR17+AT17)</f>
        <v>126568</v>
      </c>
      <c r="AW17" s="123">
        <f t="shared" si="5"/>
        <v>133554</v>
      </c>
      <c r="AX17" s="119"/>
      <c r="AY17" s="100"/>
      <c r="AZ17" s="122">
        <f t="shared" si="4"/>
        <v>126568</v>
      </c>
      <c r="BA17" s="123">
        <f t="shared" ref="BA17:BA22" si="6">AW17+AY17</f>
        <v>133554</v>
      </c>
    </row>
    <row r="18" spans="1:53" s="93" customFormat="1" ht="14.25" x14ac:dyDescent="0.3">
      <c r="A18" s="395" t="s">
        <v>43</v>
      </c>
      <c r="B18" s="736"/>
      <c r="C18" s="94"/>
      <c r="D18" s="96"/>
      <c r="E18" s="100"/>
      <c r="F18" s="99"/>
      <c r="G18" s="100"/>
      <c r="H18" s="99"/>
      <c r="I18" s="100"/>
      <c r="J18" s="119"/>
      <c r="K18" s="100"/>
      <c r="L18" s="119"/>
      <c r="M18" s="100"/>
      <c r="N18" s="99"/>
      <c r="O18" s="100"/>
      <c r="P18" s="96"/>
      <c r="Q18" s="97"/>
      <c r="R18" s="96"/>
      <c r="S18" s="97"/>
      <c r="T18" s="96"/>
      <c r="U18" s="97"/>
      <c r="V18" s="119">
        <v>29091</v>
      </c>
      <c r="W18" s="100">
        <v>64097</v>
      </c>
      <c r="X18" s="743"/>
      <c r="Y18" s="97"/>
      <c r="Z18" s="746"/>
      <c r="AA18" s="101"/>
      <c r="AB18" s="743"/>
      <c r="AC18" s="97"/>
      <c r="AD18" s="743"/>
      <c r="AE18" s="97"/>
      <c r="AF18" s="743"/>
      <c r="AG18" s="92"/>
      <c r="AH18" s="743"/>
      <c r="AI18" s="97"/>
      <c r="AJ18" s="743"/>
      <c r="AK18" s="97"/>
      <c r="AL18" s="743"/>
      <c r="AM18" s="877"/>
      <c r="AN18" s="719"/>
      <c r="AO18" s="200"/>
      <c r="AP18" s="754"/>
      <c r="AQ18" s="756"/>
      <c r="AR18" s="713"/>
      <c r="AS18" s="111"/>
      <c r="AT18" s="119"/>
      <c r="AU18" s="100"/>
      <c r="AV18" s="122">
        <f t="shared" si="5"/>
        <v>29091</v>
      </c>
      <c r="AW18" s="123">
        <f t="shared" si="5"/>
        <v>64097</v>
      </c>
      <c r="AX18" s="119"/>
      <c r="AY18" s="100"/>
      <c r="AZ18" s="122">
        <f t="shared" si="4"/>
        <v>29091</v>
      </c>
      <c r="BA18" s="123">
        <f t="shared" si="6"/>
        <v>64097</v>
      </c>
    </row>
    <row r="19" spans="1:53" s="93" customFormat="1" ht="14.25" x14ac:dyDescent="0.3">
      <c r="A19" s="395" t="s">
        <v>44</v>
      </c>
      <c r="B19" s="736"/>
      <c r="C19" s="94"/>
      <c r="D19" s="96"/>
      <c r="E19" s="100"/>
      <c r="F19" s="99"/>
      <c r="G19" s="100"/>
      <c r="H19" s="99"/>
      <c r="I19" s="100"/>
      <c r="J19" s="119"/>
      <c r="K19" s="100"/>
      <c r="L19" s="119"/>
      <c r="M19" s="100"/>
      <c r="N19" s="99"/>
      <c r="O19" s="100"/>
      <c r="P19" s="96"/>
      <c r="Q19" s="97"/>
      <c r="R19" s="96"/>
      <c r="S19" s="97"/>
      <c r="T19" s="96"/>
      <c r="U19" s="97"/>
      <c r="V19" s="119">
        <v>2470</v>
      </c>
      <c r="W19" s="100">
        <v>2106</v>
      </c>
      <c r="X19" s="743"/>
      <c r="Y19" s="97"/>
      <c r="Z19" s="746"/>
      <c r="AA19" s="101"/>
      <c r="AB19" s="743"/>
      <c r="AC19" s="97"/>
      <c r="AD19" s="743"/>
      <c r="AE19" s="97"/>
      <c r="AF19" s="743"/>
      <c r="AG19" s="92"/>
      <c r="AH19" s="743"/>
      <c r="AI19" s="97"/>
      <c r="AJ19" s="743"/>
      <c r="AK19" s="97"/>
      <c r="AL19" s="743"/>
      <c r="AM19" s="877"/>
      <c r="AN19" s="719"/>
      <c r="AO19" s="200"/>
      <c r="AP19" s="754"/>
      <c r="AQ19" s="756"/>
      <c r="AR19" s="713"/>
      <c r="AS19" s="111"/>
      <c r="AT19" s="119"/>
      <c r="AU19" s="100"/>
      <c r="AV19" s="122">
        <f t="shared" si="5"/>
        <v>2470</v>
      </c>
      <c r="AW19" s="123">
        <f t="shared" si="5"/>
        <v>2106</v>
      </c>
      <c r="AX19" s="119"/>
      <c r="AY19" s="100"/>
      <c r="AZ19" s="122">
        <f t="shared" si="4"/>
        <v>2470</v>
      </c>
      <c r="BA19" s="123">
        <f t="shared" si="6"/>
        <v>2106</v>
      </c>
    </row>
    <row r="20" spans="1:53" s="93" customFormat="1" ht="14.25" x14ac:dyDescent="0.3">
      <c r="A20" s="395" t="s">
        <v>45</v>
      </c>
      <c r="B20" s="736"/>
      <c r="C20" s="94"/>
      <c r="D20" s="96">
        <v>73</v>
      </c>
      <c r="E20" s="100">
        <v>107</v>
      </c>
      <c r="F20" s="99">
        <v>777</v>
      </c>
      <c r="G20" s="100">
        <v>641</v>
      </c>
      <c r="H20" s="99">
        <v>1450</v>
      </c>
      <c r="I20" s="100">
        <v>1165</v>
      </c>
      <c r="J20" s="119"/>
      <c r="K20" s="100"/>
      <c r="L20" s="119"/>
      <c r="M20" s="100"/>
      <c r="N20" s="99">
        <v>42</v>
      </c>
      <c r="O20" s="100">
        <v>84</v>
      </c>
      <c r="P20" s="96">
        <v>25</v>
      </c>
      <c r="Q20" s="97">
        <v>13</v>
      </c>
      <c r="R20" s="96"/>
      <c r="S20" s="97"/>
      <c r="T20" s="96"/>
      <c r="U20" s="97"/>
      <c r="V20" s="119">
        <v>2953</v>
      </c>
      <c r="W20" s="100">
        <v>2595</v>
      </c>
      <c r="X20" s="743">
        <v>4929</v>
      </c>
      <c r="Y20" s="97">
        <v>3858</v>
      </c>
      <c r="Z20" s="746"/>
      <c r="AA20" s="101"/>
      <c r="AB20" s="743"/>
      <c r="AC20" s="97"/>
      <c r="AD20" s="743"/>
      <c r="AE20" s="97"/>
      <c r="AF20" s="743"/>
      <c r="AG20" s="92"/>
      <c r="AH20" s="743"/>
      <c r="AI20" s="97"/>
      <c r="AJ20" s="743"/>
      <c r="AK20" s="97"/>
      <c r="AL20" s="743"/>
      <c r="AM20" s="877"/>
      <c r="AN20" s="719">
        <v>1475</v>
      </c>
      <c r="AO20" s="200">
        <v>1198</v>
      </c>
      <c r="AP20" s="754"/>
      <c r="AQ20" s="756"/>
      <c r="AR20" s="713"/>
      <c r="AS20" s="111"/>
      <c r="AT20" s="119">
        <v>724</v>
      </c>
      <c r="AU20" s="100">
        <v>432</v>
      </c>
      <c r="AV20" s="122">
        <f t="shared" si="5"/>
        <v>12448</v>
      </c>
      <c r="AW20" s="123">
        <f t="shared" si="5"/>
        <v>10093</v>
      </c>
      <c r="AX20" s="119">
        <v>101784</v>
      </c>
      <c r="AY20" s="100">
        <v>77013</v>
      </c>
      <c r="AZ20" s="122">
        <f t="shared" si="4"/>
        <v>114232</v>
      </c>
      <c r="BA20" s="123">
        <f t="shared" si="6"/>
        <v>87106</v>
      </c>
    </row>
    <row r="21" spans="1:53" s="93" customFormat="1" ht="14.25" x14ac:dyDescent="0.3">
      <c r="A21" s="395" t="s">
        <v>46</v>
      </c>
      <c r="B21" s="736"/>
      <c r="C21" s="94"/>
      <c r="D21" s="96"/>
      <c r="E21" s="100"/>
      <c r="F21" s="99"/>
      <c r="G21" s="100"/>
      <c r="H21" s="99"/>
      <c r="I21" s="100"/>
      <c r="J21" s="119"/>
      <c r="K21" s="100"/>
      <c r="L21" s="119"/>
      <c r="M21" s="100"/>
      <c r="N21" s="99">
        <v>78</v>
      </c>
      <c r="O21" s="100">
        <v>61</v>
      </c>
      <c r="P21" s="96"/>
      <c r="Q21" s="97"/>
      <c r="R21" s="96"/>
      <c r="S21" s="97"/>
      <c r="T21" s="96">
        <v>-10</v>
      </c>
      <c r="U21" s="97">
        <v>88</v>
      </c>
      <c r="V21" s="119"/>
      <c r="W21" s="100"/>
      <c r="X21" s="743"/>
      <c r="Y21" s="97"/>
      <c r="Z21" s="746"/>
      <c r="AA21" s="101"/>
      <c r="AB21" s="743">
        <v>126</v>
      </c>
      <c r="AC21" s="97">
        <v>114</v>
      </c>
      <c r="AD21" s="743"/>
      <c r="AE21" s="97"/>
      <c r="AF21" s="743"/>
      <c r="AG21" s="92"/>
      <c r="AH21" s="743"/>
      <c r="AI21" s="97"/>
      <c r="AJ21" s="743">
        <v>67</v>
      </c>
      <c r="AK21" s="97">
        <v>70</v>
      </c>
      <c r="AL21" s="743"/>
      <c r="AM21" s="877"/>
      <c r="AN21" s="98"/>
      <c r="AO21" s="200"/>
      <c r="AP21" s="754"/>
      <c r="AQ21" s="756"/>
      <c r="AR21" s="713"/>
      <c r="AS21" s="111"/>
      <c r="AT21" s="119"/>
      <c r="AU21" s="100"/>
      <c r="AV21" s="122">
        <f t="shared" si="5"/>
        <v>261</v>
      </c>
      <c r="AW21" s="123">
        <f t="shared" si="5"/>
        <v>333</v>
      </c>
      <c r="AX21" s="119"/>
      <c r="AY21" s="100"/>
      <c r="AZ21" s="122">
        <f t="shared" si="4"/>
        <v>261</v>
      </c>
      <c r="BA21" s="123">
        <f t="shared" si="6"/>
        <v>333</v>
      </c>
    </row>
    <row r="22" spans="1:53" s="93" customFormat="1" ht="14.25" x14ac:dyDescent="0.3">
      <c r="A22" s="395" t="s">
        <v>47</v>
      </c>
      <c r="B22" s="736"/>
      <c r="C22" s="94"/>
      <c r="D22" s="96"/>
      <c r="E22" s="100"/>
      <c r="F22" s="99"/>
      <c r="G22" s="100"/>
      <c r="H22" s="99">
        <v>1068</v>
      </c>
      <c r="I22" s="100">
        <v>681</v>
      </c>
      <c r="J22" s="119"/>
      <c r="K22" s="100"/>
      <c r="L22" s="119"/>
      <c r="M22" s="100"/>
      <c r="N22" s="99">
        <v>406</v>
      </c>
      <c r="O22" s="100">
        <v>168</v>
      </c>
      <c r="P22" s="96"/>
      <c r="Q22" s="97"/>
      <c r="R22" s="96"/>
      <c r="S22" s="97"/>
      <c r="T22" s="124">
        <f>12197+7326+133</f>
        <v>19656</v>
      </c>
      <c r="U22" s="146">
        <f>115+4494+3608</f>
        <v>8217</v>
      </c>
      <c r="V22" s="119"/>
      <c r="W22" s="100"/>
      <c r="X22" s="743"/>
      <c r="Y22" s="97"/>
      <c r="Z22" s="746">
        <v>11</v>
      </c>
      <c r="AA22" s="101">
        <v>40</v>
      </c>
      <c r="AB22" s="743"/>
      <c r="AC22" s="97"/>
      <c r="AD22" s="743">
        <f>332+257</f>
        <v>589</v>
      </c>
      <c r="AE22" s="97">
        <f>170+173</f>
        <v>343</v>
      </c>
      <c r="AF22" s="743">
        <v>6161</v>
      </c>
      <c r="AG22" s="92">
        <v>5415</v>
      </c>
      <c r="AH22" s="743"/>
      <c r="AI22" s="97"/>
      <c r="AJ22" s="743">
        <f>1766</f>
        <v>1766</v>
      </c>
      <c r="AK22" s="97">
        <v>1193</v>
      </c>
      <c r="AL22" s="743"/>
      <c r="AM22" s="877"/>
      <c r="AN22" s="719">
        <v>344</v>
      </c>
      <c r="AO22" s="200">
        <v>538</v>
      </c>
      <c r="AP22" s="754">
        <f>622</f>
        <v>622</v>
      </c>
      <c r="AQ22" s="756">
        <v>205</v>
      </c>
      <c r="AR22" s="713">
        <f>44+61+221+186+7468</f>
        <v>7980</v>
      </c>
      <c r="AS22" s="111">
        <f>10664+38+105+161+241</f>
        <v>11209</v>
      </c>
      <c r="AT22" s="119">
        <f>15468+845</f>
        <v>16313</v>
      </c>
      <c r="AU22" s="100"/>
      <c r="AV22" s="122">
        <f t="shared" si="5"/>
        <v>54916</v>
      </c>
      <c r="AW22" s="123">
        <f t="shared" si="5"/>
        <v>28009</v>
      </c>
      <c r="AX22" s="119">
        <v>861</v>
      </c>
      <c r="AY22" s="100">
        <v>611</v>
      </c>
      <c r="AZ22" s="122">
        <f t="shared" si="4"/>
        <v>55777</v>
      </c>
      <c r="BA22" s="123">
        <f t="shared" si="6"/>
        <v>28620</v>
      </c>
    </row>
    <row r="23" spans="1:53" s="93" customFormat="1" ht="14.25" x14ac:dyDescent="0.3">
      <c r="A23" s="395" t="s">
        <v>48</v>
      </c>
      <c r="B23" s="736"/>
      <c r="C23" s="94"/>
      <c r="D23" s="96"/>
      <c r="E23" s="100"/>
      <c r="F23" s="99"/>
      <c r="G23" s="100"/>
      <c r="H23" s="99"/>
      <c r="I23" s="100"/>
      <c r="J23" s="119"/>
      <c r="K23" s="100"/>
      <c r="L23" s="119"/>
      <c r="M23" s="100"/>
      <c r="N23" s="99"/>
      <c r="O23" s="100"/>
      <c r="P23" s="96"/>
      <c r="Q23" s="97"/>
      <c r="R23" s="96"/>
      <c r="S23" s="97"/>
      <c r="T23" s="96"/>
      <c r="U23" s="97"/>
      <c r="V23" s="119"/>
      <c r="W23" s="100"/>
      <c r="X23" s="743"/>
      <c r="Y23" s="97"/>
      <c r="Z23" s="746"/>
      <c r="AA23" s="101"/>
      <c r="AB23" s="743"/>
      <c r="AC23" s="97"/>
      <c r="AD23" s="743"/>
      <c r="AE23" s="97"/>
      <c r="AF23" s="743"/>
      <c r="AG23" s="92"/>
      <c r="AH23" s="743"/>
      <c r="AI23" s="97"/>
      <c r="AJ23" s="743"/>
      <c r="AK23" s="97"/>
      <c r="AL23" s="743"/>
      <c r="AM23" s="877"/>
      <c r="AN23" s="98"/>
      <c r="AO23" s="100"/>
      <c r="AP23" s="754"/>
      <c r="AQ23" s="756"/>
      <c r="AR23" s="713"/>
      <c r="AS23" s="111"/>
      <c r="AT23" s="119"/>
      <c r="AU23" s="100"/>
      <c r="AV23" s="122"/>
      <c r="AW23" s="123"/>
      <c r="AX23" s="119"/>
      <c r="AY23" s="100"/>
      <c r="AZ23" s="122"/>
      <c r="BA23" s="123"/>
    </row>
    <row r="24" spans="1:53" s="93" customFormat="1" ht="14.25" x14ac:dyDescent="0.3">
      <c r="A24" s="395" t="s">
        <v>31</v>
      </c>
      <c r="B24" s="737">
        <v>-29643</v>
      </c>
      <c r="C24" s="125">
        <v>-68785</v>
      </c>
      <c r="D24" s="104">
        <v>-5609</v>
      </c>
      <c r="E24" s="116">
        <v>-22801</v>
      </c>
      <c r="F24" s="115">
        <v>-5638</v>
      </c>
      <c r="G24" s="116">
        <v>-19965</v>
      </c>
      <c r="H24" s="115">
        <v>-23712</v>
      </c>
      <c r="I24" s="116">
        <v>-31840</v>
      </c>
      <c r="J24" s="122">
        <v>-3813</v>
      </c>
      <c r="K24" s="116">
        <v>-10358</v>
      </c>
      <c r="L24" s="122">
        <v>-10701</v>
      </c>
      <c r="M24" s="116">
        <v>-16534</v>
      </c>
      <c r="N24" s="115">
        <v>-5442</v>
      </c>
      <c r="O24" s="116">
        <v>-12303</v>
      </c>
      <c r="P24" s="104">
        <v>-3843</v>
      </c>
      <c r="Q24" s="126">
        <v>-13193</v>
      </c>
      <c r="R24" s="104"/>
      <c r="S24" s="126">
        <v>-27855</v>
      </c>
      <c r="T24" s="104">
        <v>-5219</v>
      </c>
      <c r="U24" s="126">
        <v>-14794</v>
      </c>
      <c r="V24" s="122">
        <v>-79649</v>
      </c>
      <c r="W24" s="116">
        <v>-147641</v>
      </c>
      <c r="X24" s="744">
        <v>-112487</v>
      </c>
      <c r="Y24" s="126">
        <v>-202039</v>
      </c>
      <c r="Z24" s="746">
        <v>-2203</v>
      </c>
      <c r="AA24" s="101">
        <v>-4862</v>
      </c>
      <c r="AB24" s="744">
        <v>-10244</v>
      </c>
      <c r="AC24" s="126">
        <v>-33651</v>
      </c>
      <c r="AD24" s="749">
        <v>-21861</v>
      </c>
      <c r="AE24" s="750">
        <v>-54570</v>
      </c>
      <c r="AF24" s="744">
        <v>-32535</v>
      </c>
      <c r="AG24" s="92">
        <v>-120572</v>
      </c>
      <c r="AH24" s="744">
        <v>-29848</v>
      </c>
      <c r="AI24" s="126">
        <v>-72230</v>
      </c>
      <c r="AJ24" s="744">
        <v>-2296</v>
      </c>
      <c r="AK24" s="126">
        <v>-5777</v>
      </c>
      <c r="AL24" s="743"/>
      <c r="AM24" s="877"/>
      <c r="AN24" s="719">
        <v>-32944</v>
      </c>
      <c r="AO24" s="200">
        <v>-78577</v>
      </c>
      <c r="AP24" s="754">
        <v>-691</v>
      </c>
      <c r="AQ24" s="756">
        <v>-1802</v>
      </c>
      <c r="AR24" s="713">
        <v>-18211</v>
      </c>
      <c r="AS24" s="111">
        <v>-20431</v>
      </c>
      <c r="AT24" s="122">
        <v>-36437</v>
      </c>
      <c r="AU24" s="116">
        <v>-101388</v>
      </c>
      <c r="AV24" s="122">
        <f>SUM(B24+D24+F24+H24+J24+L24+N24+P24+R24+T24+V24+X24+Z24+AB24+AD24+AF24+AH24+AJ24+AL24+AN24+AP24+AR24+AT24)</f>
        <v>-473026</v>
      </c>
      <c r="AW24" s="123">
        <f>SUM(C24+E24+G24+I24+K24+M24+O24+Q24+S24+U24+W24+Y24+AA24+AC24+AE24+AG24+AI24+AK24+AM24+AO24+AQ24+AS24+AU24)</f>
        <v>-1081968</v>
      </c>
      <c r="AX24" s="122">
        <v>-38906</v>
      </c>
      <c r="AY24" s="116">
        <v>-85820</v>
      </c>
      <c r="AZ24" s="122">
        <f>AV24+AX24</f>
        <v>-511932</v>
      </c>
      <c r="BA24" s="123">
        <f>AW24+AY24</f>
        <v>-1167788</v>
      </c>
    </row>
    <row r="25" spans="1:53" s="93" customFormat="1" ht="14.25" x14ac:dyDescent="0.3">
      <c r="A25" s="395" t="s">
        <v>32</v>
      </c>
      <c r="B25" s="736"/>
      <c r="C25" s="94"/>
      <c r="D25" s="96"/>
      <c r="E25" s="100"/>
      <c r="F25" s="99"/>
      <c r="G25" s="100"/>
      <c r="H25" s="99"/>
      <c r="I25" s="100"/>
      <c r="J25" s="119"/>
      <c r="K25" s="100"/>
      <c r="L25" s="119"/>
      <c r="M25" s="100"/>
      <c r="N25" s="99"/>
      <c r="O25" s="100"/>
      <c r="P25" s="96"/>
      <c r="Q25" s="97"/>
      <c r="R25" s="96"/>
      <c r="S25" s="97"/>
      <c r="T25" s="96"/>
      <c r="U25" s="97"/>
      <c r="V25" s="119"/>
      <c r="W25" s="100"/>
      <c r="X25" s="743"/>
      <c r="Y25" s="97"/>
      <c r="Z25" s="746"/>
      <c r="AA25" s="101"/>
      <c r="AB25" s="743"/>
      <c r="AC25" s="97"/>
      <c r="AD25" s="743"/>
      <c r="AE25" s="97"/>
      <c r="AF25" s="743"/>
      <c r="AG25" s="92"/>
      <c r="AH25" s="743"/>
      <c r="AI25" s="97"/>
      <c r="AJ25" s="743"/>
      <c r="AK25" s="97"/>
      <c r="AL25" s="743"/>
      <c r="AM25" s="877"/>
      <c r="AN25" s="98"/>
      <c r="AO25" s="100"/>
      <c r="AP25" s="754"/>
      <c r="AQ25" s="756"/>
      <c r="AR25" s="713"/>
      <c r="AS25" s="111"/>
      <c r="AT25" s="119"/>
      <c r="AU25" s="100"/>
      <c r="AV25" s="122"/>
      <c r="AW25" s="123"/>
      <c r="AX25" s="713"/>
      <c r="AY25" s="111"/>
      <c r="AZ25" s="122"/>
      <c r="BA25" s="123"/>
    </row>
    <row r="26" spans="1:53" s="93" customFormat="1" ht="14.25" x14ac:dyDescent="0.3">
      <c r="A26" s="395" t="s">
        <v>49</v>
      </c>
      <c r="B26" s="736"/>
      <c r="C26" s="94"/>
      <c r="D26" s="96"/>
      <c r="E26" s="100"/>
      <c r="F26" s="99"/>
      <c r="G26" s="100"/>
      <c r="H26" s="99"/>
      <c r="I26" s="100"/>
      <c r="J26" s="119"/>
      <c r="K26" s="100"/>
      <c r="L26" s="119"/>
      <c r="M26" s="100"/>
      <c r="N26" s="99"/>
      <c r="O26" s="100"/>
      <c r="P26" s="96"/>
      <c r="Q26" s="97"/>
      <c r="R26" s="96"/>
      <c r="S26" s="97"/>
      <c r="T26" s="96"/>
      <c r="U26" s="97"/>
      <c r="V26" s="119"/>
      <c r="W26" s="100"/>
      <c r="X26" s="743"/>
      <c r="Y26" s="97"/>
      <c r="Z26" s="746"/>
      <c r="AA26" s="101"/>
      <c r="AB26" s="743"/>
      <c r="AC26" s="97"/>
      <c r="AD26" s="743"/>
      <c r="AE26" s="97"/>
      <c r="AF26" s="743"/>
      <c r="AG26" s="92"/>
      <c r="AH26" s="743"/>
      <c r="AI26" s="97"/>
      <c r="AJ26" s="743"/>
      <c r="AK26" s="97"/>
      <c r="AL26" s="743"/>
      <c r="AM26" s="877"/>
      <c r="AN26" s="98"/>
      <c r="AO26" s="100"/>
      <c r="AP26" s="754"/>
      <c r="AQ26" s="756"/>
      <c r="AR26" s="713"/>
      <c r="AS26" s="111"/>
      <c r="AT26" s="119"/>
      <c r="AU26" s="100"/>
      <c r="AV26" s="122"/>
      <c r="AW26" s="123"/>
      <c r="AX26" s="713"/>
      <c r="AY26" s="111"/>
      <c r="AZ26" s="122"/>
      <c r="BA26" s="123"/>
    </row>
    <row r="27" spans="1:53" s="93" customFormat="1" ht="14.25" x14ac:dyDescent="0.3">
      <c r="A27" s="395" t="s">
        <v>50</v>
      </c>
      <c r="B27" s="736">
        <v>-280</v>
      </c>
      <c r="C27" s="94">
        <v>-261</v>
      </c>
      <c r="D27" s="96">
        <v>-38</v>
      </c>
      <c r="E27" s="100">
        <v>-44</v>
      </c>
      <c r="F27" s="99">
        <v>-74</v>
      </c>
      <c r="G27" s="100"/>
      <c r="H27" s="99"/>
      <c r="I27" s="100">
        <v>-9</v>
      </c>
      <c r="J27" s="119">
        <v>-109</v>
      </c>
      <c r="K27" s="100">
        <v>-67</v>
      </c>
      <c r="L27" s="119"/>
      <c r="M27" s="100"/>
      <c r="N27" s="99">
        <v>-2</v>
      </c>
      <c r="O27" s="100">
        <v>-9</v>
      </c>
      <c r="P27" s="96">
        <v>-90</v>
      </c>
      <c r="Q27" s="97">
        <v>-60</v>
      </c>
      <c r="R27" s="96"/>
      <c r="S27" s="97"/>
      <c r="T27" s="96">
        <v>-79</v>
      </c>
      <c r="U27" s="97">
        <v>-79</v>
      </c>
      <c r="V27" s="119">
        <v>-1964</v>
      </c>
      <c r="W27" s="100">
        <v>-2348</v>
      </c>
      <c r="X27" s="743">
        <v>-5312</v>
      </c>
      <c r="Y27" s="97">
        <v>-7135</v>
      </c>
      <c r="Z27" s="746"/>
      <c r="AA27" s="101"/>
      <c r="AB27" s="743">
        <v>-16</v>
      </c>
      <c r="AC27" s="97">
        <v>-69</v>
      </c>
      <c r="AD27" s="743">
        <v>-195</v>
      </c>
      <c r="AE27" s="97">
        <v>-32</v>
      </c>
      <c r="AF27" s="743">
        <v>-788</v>
      </c>
      <c r="AG27" s="92">
        <v>-723</v>
      </c>
      <c r="AH27" s="743">
        <v>-152</v>
      </c>
      <c r="AI27" s="97">
        <v>-168</v>
      </c>
      <c r="AJ27" s="743">
        <v>-29</v>
      </c>
      <c r="AK27" s="97">
        <v>-13</v>
      </c>
      <c r="AL27" s="743"/>
      <c r="AM27" s="877"/>
      <c r="AN27" s="719">
        <v>-106</v>
      </c>
      <c r="AO27" s="200">
        <v>-76</v>
      </c>
      <c r="AP27" s="754"/>
      <c r="AQ27" s="756"/>
      <c r="AR27" s="713">
        <v>-167</v>
      </c>
      <c r="AS27" s="111">
        <v>-75</v>
      </c>
      <c r="AT27" s="119"/>
      <c r="AU27" s="100"/>
      <c r="AV27" s="122">
        <f>SUM(B27+D27+F27+H27+J27+L27+N27+P27+R27+T27+V27+X27+Z27+AB27+AD27+AF27+AH27+AJ27+AL27+AN27+AP27+AR27+AT27)</f>
        <v>-9401</v>
      </c>
      <c r="AW27" s="123">
        <f>SUM(C27+E27+G27+I27+K27+M27+O27+Q27+S27+U27+W27+Y27+AA27+AC27+AE27+AG27+AI27+AK27+AM27+AO27+AQ27+AS27+AU27)</f>
        <v>-11168</v>
      </c>
      <c r="AX27" s="713">
        <v>-5091</v>
      </c>
      <c r="AY27" s="111">
        <v>-2987</v>
      </c>
      <c r="AZ27" s="122">
        <f>AV27+AX27</f>
        <v>-14492</v>
      </c>
      <c r="BA27" s="123">
        <f>AW27+AY27</f>
        <v>-14155</v>
      </c>
    </row>
    <row r="28" spans="1:53" s="93" customFormat="1" ht="14.25" x14ac:dyDescent="0.3">
      <c r="A28" s="395" t="s">
        <v>51</v>
      </c>
      <c r="B28" s="736"/>
      <c r="C28" s="94"/>
      <c r="D28" s="96">
        <v>-61</v>
      </c>
      <c r="E28" s="100">
        <v>-288</v>
      </c>
      <c r="F28" s="99"/>
      <c r="G28" s="100"/>
      <c r="H28" s="99">
        <v>-766</v>
      </c>
      <c r="I28" s="100">
        <v>-10</v>
      </c>
      <c r="J28" s="119"/>
      <c r="K28" s="100"/>
      <c r="L28" s="119"/>
      <c r="M28" s="100"/>
      <c r="N28" s="99"/>
      <c r="O28" s="100"/>
      <c r="P28" s="96"/>
      <c r="Q28" s="97"/>
      <c r="R28" s="96"/>
      <c r="S28" s="97"/>
      <c r="T28" s="96"/>
      <c r="U28" s="97"/>
      <c r="V28" s="119"/>
      <c r="W28" s="100"/>
      <c r="X28" s="743">
        <v>-45</v>
      </c>
      <c r="Y28" s="97">
        <v>-29</v>
      </c>
      <c r="Z28" s="746"/>
      <c r="AA28" s="101"/>
      <c r="AB28" s="743"/>
      <c r="AC28" s="97"/>
      <c r="AD28" s="743">
        <v>-44</v>
      </c>
      <c r="AE28" s="97">
        <v>-31</v>
      </c>
      <c r="AF28" s="743"/>
      <c r="AG28" s="97"/>
      <c r="AH28" s="743"/>
      <c r="AI28" s="97"/>
      <c r="AJ28" s="743"/>
      <c r="AK28" s="97"/>
      <c r="AL28" s="743"/>
      <c r="AM28" s="877"/>
      <c r="AN28" s="719"/>
      <c r="AO28" s="200"/>
      <c r="AP28" s="754"/>
      <c r="AQ28" s="756"/>
      <c r="AR28" s="713"/>
      <c r="AS28" s="111"/>
      <c r="AT28" s="119"/>
      <c r="AU28" s="100"/>
      <c r="AV28" s="122">
        <f>SUM(B28+D28+F28+H28+J28+L28+N28+P28+R28+T28+V28+X28+Z28+AB28+AD28+AF28+AH28+AJ28+AL28+AN28+AP28+AR28+AT28)</f>
        <v>-916</v>
      </c>
      <c r="AW28" s="123">
        <f>SUM(C28+E28+G28+I28+K28+M28+O28+Q28+S28+U28+W28+Y28+AA28+AC28+AE28+AG28+AI28+AK28+AM28+AO28+AQ28+AS28+AU28)</f>
        <v>-358</v>
      </c>
      <c r="AX28" s="713"/>
      <c r="AY28" s="111"/>
      <c r="AZ28" s="122">
        <f>AV28+AX28</f>
        <v>-916</v>
      </c>
      <c r="BA28" s="123">
        <f>AW28+AY28</f>
        <v>-358</v>
      </c>
    </row>
    <row r="29" spans="1:53" s="93" customFormat="1" ht="14.25" x14ac:dyDescent="0.3">
      <c r="A29" s="395" t="s">
        <v>52</v>
      </c>
      <c r="B29" s="737"/>
      <c r="C29" s="125"/>
      <c r="D29" s="104"/>
      <c r="E29" s="116"/>
      <c r="F29" s="115"/>
      <c r="G29" s="116"/>
      <c r="H29" s="115"/>
      <c r="I29" s="116"/>
      <c r="J29" s="122"/>
      <c r="K29" s="116"/>
      <c r="L29" s="122"/>
      <c r="M29" s="116"/>
      <c r="N29" s="115"/>
      <c r="O29" s="116"/>
      <c r="P29" s="104"/>
      <c r="Q29" s="126"/>
      <c r="R29" s="104"/>
      <c r="S29" s="126"/>
      <c r="T29" s="104"/>
      <c r="U29" s="126"/>
      <c r="V29" s="122"/>
      <c r="W29" s="116"/>
      <c r="X29" s="744"/>
      <c r="Y29" s="126"/>
      <c r="Z29" s="746"/>
      <c r="AA29" s="101"/>
      <c r="AB29" s="744"/>
      <c r="AC29" s="126"/>
      <c r="AD29" s="749"/>
      <c r="AE29" s="750"/>
      <c r="AF29" s="744"/>
      <c r="AG29" s="126"/>
      <c r="AH29" s="744"/>
      <c r="AI29" s="126"/>
      <c r="AJ29" s="744"/>
      <c r="AK29" s="126"/>
      <c r="AL29" s="743"/>
      <c r="AM29" s="877"/>
      <c r="AN29" s="98"/>
      <c r="AO29" s="100"/>
      <c r="AP29" s="754"/>
      <c r="AQ29" s="756"/>
      <c r="AR29" s="713"/>
      <c r="AS29" s="111"/>
      <c r="AT29" s="122"/>
      <c r="AU29" s="116"/>
      <c r="AV29" s="122"/>
      <c r="AW29" s="123"/>
      <c r="AX29" s="122"/>
      <c r="AY29" s="116"/>
      <c r="AZ29" s="122"/>
      <c r="BA29" s="123"/>
    </row>
    <row r="30" spans="1:53" s="93" customFormat="1" ht="14.25" x14ac:dyDescent="0.3">
      <c r="A30" s="395" t="s">
        <v>31</v>
      </c>
      <c r="B30" s="736"/>
      <c r="C30" s="94"/>
      <c r="D30" s="96"/>
      <c r="E30" s="100"/>
      <c r="F30" s="99"/>
      <c r="G30" s="100"/>
      <c r="H30" s="99"/>
      <c r="I30" s="100"/>
      <c r="J30" s="119"/>
      <c r="K30" s="100"/>
      <c r="L30" s="119"/>
      <c r="M30" s="100"/>
      <c r="N30" s="99"/>
      <c r="O30" s="100"/>
      <c r="P30" s="96"/>
      <c r="Q30" s="97"/>
      <c r="R30" s="96"/>
      <c r="S30" s="97"/>
      <c r="T30" s="96"/>
      <c r="U30" s="97"/>
      <c r="V30" s="119"/>
      <c r="W30" s="100"/>
      <c r="X30" s="743">
        <v>30</v>
      </c>
      <c r="Y30" s="97"/>
      <c r="Z30" s="746"/>
      <c r="AA30" s="101"/>
      <c r="AB30" s="743"/>
      <c r="AC30" s="97"/>
      <c r="AD30" s="743"/>
      <c r="AE30" s="97"/>
      <c r="AF30" s="743"/>
      <c r="AG30" s="97"/>
      <c r="AH30" s="743"/>
      <c r="AI30" s="97"/>
      <c r="AJ30" s="743"/>
      <c r="AK30" s="97"/>
      <c r="AL30" s="743"/>
      <c r="AM30" s="877"/>
      <c r="AN30" s="98"/>
      <c r="AO30" s="100"/>
      <c r="AP30" s="754"/>
      <c r="AQ30" s="756"/>
      <c r="AR30" s="713"/>
      <c r="AS30" s="111"/>
      <c r="AT30" s="119"/>
      <c r="AU30" s="100"/>
      <c r="AV30" s="122">
        <f>SUM(B30+D30+F30+H30+J30+L30+N30+P30+R30+T30+V30+X30+Z30+AB30+AD30+AF30+AH30+AJ30+AL30+AN30+AP30+AR30+AT30)</f>
        <v>30</v>
      </c>
      <c r="AW30" s="123">
        <f>SUM(C30+E30+G30+I30+K30+M30+O30+Q30+S30+U30+W30+Y30+AA30+AC30+AE30+AG30+AI30+AK30+AM30+AO30+AQ30+AS30+AU30)</f>
        <v>0</v>
      </c>
      <c r="AX30" s="713"/>
      <c r="AY30" s="111"/>
      <c r="AZ30" s="122">
        <f>AV30+AX30</f>
        <v>30</v>
      </c>
      <c r="BA30" s="123">
        <f>AW30+AY30</f>
        <v>0</v>
      </c>
    </row>
    <row r="31" spans="1:53" s="93" customFormat="1" ht="14.25" x14ac:dyDescent="0.3">
      <c r="A31" s="395" t="s">
        <v>32</v>
      </c>
      <c r="B31" s="736"/>
      <c r="C31" s="94"/>
      <c r="D31" s="96"/>
      <c r="E31" s="100"/>
      <c r="F31" s="99"/>
      <c r="G31" s="100"/>
      <c r="H31" s="99"/>
      <c r="I31" s="100"/>
      <c r="J31" s="119"/>
      <c r="K31" s="100"/>
      <c r="L31" s="119"/>
      <c r="M31" s="100"/>
      <c r="N31" s="99"/>
      <c r="O31" s="100"/>
      <c r="P31" s="96"/>
      <c r="Q31" s="97"/>
      <c r="R31" s="96"/>
      <c r="S31" s="97"/>
      <c r="T31" s="96"/>
      <c r="U31" s="97"/>
      <c r="V31" s="119"/>
      <c r="W31" s="100"/>
      <c r="X31" s="743"/>
      <c r="Y31" s="97"/>
      <c r="Z31" s="746"/>
      <c r="AA31" s="101"/>
      <c r="AB31" s="743"/>
      <c r="AC31" s="97"/>
      <c r="AD31" s="743"/>
      <c r="AE31" s="97"/>
      <c r="AF31" s="743"/>
      <c r="AG31" s="97"/>
      <c r="AH31" s="743"/>
      <c r="AI31" s="97"/>
      <c r="AJ31" s="743"/>
      <c r="AK31" s="97"/>
      <c r="AL31" s="743"/>
      <c r="AM31" s="877"/>
      <c r="AN31" s="98"/>
      <c r="AO31" s="100"/>
      <c r="AP31" s="754"/>
      <c r="AQ31" s="756"/>
      <c r="AR31" s="713"/>
      <c r="AS31" s="111"/>
      <c r="AT31" s="119"/>
      <c r="AU31" s="100"/>
      <c r="AV31" s="122"/>
      <c r="AW31" s="123"/>
      <c r="AX31" s="713"/>
      <c r="AY31" s="111"/>
      <c r="AZ31" s="122"/>
      <c r="BA31" s="123"/>
    </row>
    <row r="32" spans="1:53" s="93" customFormat="1" ht="14.25" x14ac:dyDescent="0.3">
      <c r="A32" s="395" t="s">
        <v>49</v>
      </c>
      <c r="B32" s="736"/>
      <c r="C32" s="94"/>
      <c r="D32" s="96"/>
      <c r="E32" s="100"/>
      <c r="F32" s="99"/>
      <c r="G32" s="100"/>
      <c r="H32" s="99"/>
      <c r="I32" s="100"/>
      <c r="J32" s="119"/>
      <c r="K32" s="100"/>
      <c r="L32" s="119"/>
      <c r="M32" s="100"/>
      <c r="N32" s="99"/>
      <c r="O32" s="100"/>
      <c r="P32" s="96"/>
      <c r="Q32" s="97"/>
      <c r="R32" s="96"/>
      <c r="S32" s="97"/>
      <c r="T32" s="96"/>
      <c r="U32" s="97"/>
      <c r="V32" s="119"/>
      <c r="W32" s="100"/>
      <c r="X32" s="743"/>
      <c r="Y32" s="97"/>
      <c r="Z32" s="746"/>
      <c r="AA32" s="101"/>
      <c r="AB32" s="743"/>
      <c r="AC32" s="97"/>
      <c r="AD32" s="743"/>
      <c r="AE32" s="97"/>
      <c r="AF32" s="743"/>
      <c r="AG32" s="97"/>
      <c r="AH32" s="743"/>
      <c r="AI32" s="97"/>
      <c r="AJ32" s="743"/>
      <c r="AK32" s="97"/>
      <c r="AL32" s="743"/>
      <c r="AM32" s="877"/>
      <c r="AN32" s="98"/>
      <c r="AO32" s="100"/>
      <c r="AP32" s="754"/>
      <c r="AQ32" s="756"/>
      <c r="AR32" s="713"/>
      <c r="AS32" s="111"/>
      <c r="AT32" s="119"/>
      <c r="AU32" s="100"/>
      <c r="AV32" s="122"/>
      <c r="AW32" s="123"/>
      <c r="AX32" s="713"/>
      <c r="AY32" s="111"/>
      <c r="AZ32" s="122"/>
      <c r="BA32" s="123"/>
    </row>
    <row r="33" spans="1:53" s="93" customFormat="1" thickBot="1" x14ac:dyDescent="0.35">
      <c r="A33" s="734" t="s">
        <v>53</v>
      </c>
      <c r="B33" s="738"/>
      <c r="C33" s="127"/>
      <c r="D33" s="128"/>
      <c r="E33" s="129"/>
      <c r="F33" s="131"/>
      <c r="G33" s="129"/>
      <c r="H33" s="131"/>
      <c r="I33" s="129"/>
      <c r="J33" s="130"/>
      <c r="K33" s="129"/>
      <c r="L33" s="130"/>
      <c r="M33" s="129"/>
      <c r="N33" s="131"/>
      <c r="O33" s="129"/>
      <c r="P33" s="128"/>
      <c r="Q33" s="132"/>
      <c r="R33" s="128"/>
      <c r="S33" s="132"/>
      <c r="T33" s="128"/>
      <c r="U33" s="132"/>
      <c r="V33" s="130"/>
      <c r="W33" s="129"/>
      <c r="X33" s="745"/>
      <c r="Y33" s="132"/>
      <c r="Z33" s="747"/>
      <c r="AA33" s="748"/>
      <c r="AB33" s="745"/>
      <c r="AC33" s="132"/>
      <c r="AD33" s="745"/>
      <c r="AE33" s="132"/>
      <c r="AF33" s="745"/>
      <c r="AG33" s="132"/>
      <c r="AH33" s="745"/>
      <c r="AI33" s="132"/>
      <c r="AJ33" s="745"/>
      <c r="AK33" s="132"/>
      <c r="AL33" s="745"/>
      <c r="AM33" s="906"/>
      <c r="AN33" s="981"/>
      <c r="AO33" s="201"/>
      <c r="AP33" s="755"/>
      <c r="AQ33" s="757"/>
      <c r="AR33" s="714"/>
      <c r="AS33" s="349"/>
      <c r="AT33" s="130"/>
      <c r="AU33" s="129"/>
      <c r="AV33" s="138"/>
      <c r="AW33" s="139"/>
      <c r="AX33" s="714"/>
      <c r="AY33" s="349"/>
      <c r="AZ33" s="138"/>
      <c r="BA33" s="139"/>
    </row>
    <row r="34" spans="1:53" s="477" customFormat="1" thickBot="1" x14ac:dyDescent="0.35">
      <c r="A34" s="505" t="s">
        <v>54</v>
      </c>
      <c r="B34" s="739">
        <f t="shared" ref="B34:AE34" si="7">SUM(B6:B33)</f>
        <v>577228</v>
      </c>
      <c r="C34" s="508">
        <f t="shared" si="7"/>
        <v>675423</v>
      </c>
      <c r="D34" s="502">
        <f t="shared" si="7"/>
        <v>36094</v>
      </c>
      <c r="E34" s="503">
        <f t="shared" si="7"/>
        <v>39111</v>
      </c>
      <c r="F34" s="475">
        <f t="shared" si="7"/>
        <v>110003</v>
      </c>
      <c r="G34" s="499">
        <f t="shared" si="7"/>
        <v>118917</v>
      </c>
      <c r="H34" s="455">
        <f t="shared" si="7"/>
        <v>1237220</v>
      </c>
      <c r="I34" s="456">
        <f t="shared" si="7"/>
        <v>881013</v>
      </c>
      <c r="J34" s="457">
        <f t="shared" si="7"/>
        <v>85927</v>
      </c>
      <c r="K34" s="499">
        <f t="shared" si="7"/>
        <v>77178</v>
      </c>
      <c r="L34" s="457">
        <f t="shared" si="7"/>
        <v>307894</v>
      </c>
      <c r="M34" s="456">
        <f t="shared" si="7"/>
        <v>264374</v>
      </c>
      <c r="N34" s="455">
        <f t="shared" si="7"/>
        <v>44616</v>
      </c>
      <c r="O34" s="456">
        <f t="shared" si="7"/>
        <v>51462</v>
      </c>
      <c r="P34" s="455">
        <f t="shared" si="7"/>
        <v>43523</v>
      </c>
      <c r="Q34" s="456">
        <f t="shared" si="7"/>
        <v>31957</v>
      </c>
      <c r="R34" s="455">
        <f t="shared" si="7"/>
        <v>0</v>
      </c>
      <c r="S34" s="456">
        <f t="shared" si="7"/>
        <v>204447</v>
      </c>
      <c r="T34" s="455">
        <f t="shared" si="7"/>
        <v>65732</v>
      </c>
      <c r="U34" s="456">
        <f t="shared" si="7"/>
        <v>56058</v>
      </c>
      <c r="V34" s="457">
        <f t="shared" si="7"/>
        <v>3674946</v>
      </c>
      <c r="W34" s="456">
        <f t="shared" si="7"/>
        <v>3115133</v>
      </c>
      <c r="X34" s="457">
        <f t="shared" si="7"/>
        <v>3078867</v>
      </c>
      <c r="Y34" s="456">
        <f t="shared" si="7"/>
        <v>2914530</v>
      </c>
      <c r="Z34" s="457">
        <f t="shared" si="7"/>
        <v>136078</v>
      </c>
      <c r="AA34" s="456">
        <f t="shared" si="7"/>
        <v>111597</v>
      </c>
      <c r="AB34" s="457">
        <f t="shared" si="7"/>
        <v>373050</v>
      </c>
      <c r="AC34" s="456">
        <f t="shared" si="7"/>
        <v>400873</v>
      </c>
      <c r="AD34" s="457">
        <f t="shared" si="7"/>
        <v>636651</v>
      </c>
      <c r="AE34" s="456">
        <f t="shared" si="7"/>
        <v>581793</v>
      </c>
      <c r="AF34" s="457">
        <f t="shared" ref="AF34:AU34" si="8">SUM(AF6:AF33)</f>
        <v>997651</v>
      </c>
      <c r="AG34" s="499">
        <f t="shared" si="8"/>
        <v>927348</v>
      </c>
      <c r="AH34" s="457">
        <f t="shared" si="8"/>
        <v>290277</v>
      </c>
      <c r="AI34" s="456">
        <f t="shared" si="8"/>
        <v>300065</v>
      </c>
      <c r="AJ34" s="457">
        <f t="shared" si="8"/>
        <v>244860</v>
      </c>
      <c r="AK34" s="456">
        <f t="shared" si="8"/>
        <v>309943</v>
      </c>
      <c r="AL34" s="752">
        <f t="shared" si="8"/>
        <v>0</v>
      </c>
      <c r="AM34" s="456">
        <f t="shared" si="8"/>
        <v>0</v>
      </c>
      <c r="AN34" s="979">
        <f t="shared" si="8"/>
        <v>3009018</v>
      </c>
      <c r="AO34" s="980">
        <f t="shared" si="8"/>
        <v>3123808</v>
      </c>
      <c r="AP34" s="752">
        <f t="shared" si="8"/>
        <v>76405</v>
      </c>
      <c r="AQ34" s="456">
        <f t="shared" si="8"/>
        <v>86970</v>
      </c>
      <c r="AR34" s="752">
        <f t="shared" si="8"/>
        <v>146377</v>
      </c>
      <c r="AS34" s="456">
        <f t="shared" si="8"/>
        <v>168032</v>
      </c>
      <c r="AT34" s="752">
        <f t="shared" si="8"/>
        <v>479502</v>
      </c>
      <c r="AU34" s="456">
        <f t="shared" si="8"/>
        <v>411528</v>
      </c>
      <c r="AV34" s="459">
        <f>SUM(B34+D34+F34+H34+J34+L34+N34+P34+R34+T34+V34+X34+Z34+AB34+AD34+AF34+AH34+AJ34+AL34+AN34+AP34+AR34+AT34)</f>
        <v>15651919</v>
      </c>
      <c r="AW34" s="476">
        <f>SUM(C34+E34+G34+I34+K34+M34+O34+Q34+S34+U34+W34+Y34+AA34+AC34+AE34+AG34+AI34+AK34+AM34+AO34+AQ34+AS34+AU34)</f>
        <v>14851560</v>
      </c>
      <c r="AX34" s="758">
        <f>SUM(AX6:AX33)</f>
        <v>33931266</v>
      </c>
      <c r="AY34" s="496">
        <f>SUM(AY6:AY33)</f>
        <v>35343756</v>
      </c>
      <c r="AZ34" s="459">
        <f>AV34+AX34</f>
        <v>49583185</v>
      </c>
      <c r="BA34" s="476">
        <f>AW34+AY34</f>
        <v>50195316</v>
      </c>
    </row>
    <row r="35" spans="1:53" s="93" customFormat="1" thickBot="1" x14ac:dyDescent="0.35">
      <c r="A35" s="506" t="s">
        <v>55</v>
      </c>
      <c r="B35" s="740"/>
      <c r="C35" s="509"/>
      <c r="D35" s="504"/>
      <c r="E35" s="497"/>
      <c r="F35" s="500"/>
      <c r="G35" s="501"/>
      <c r="H35" s="143"/>
      <c r="I35" s="142"/>
      <c r="J35" s="741"/>
      <c r="K35" s="501"/>
      <c r="L35" s="143"/>
      <c r="M35" s="142"/>
      <c r="N35" s="143"/>
      <c r="O35" s="142"/>
      <c r="P35" s="140"/>
      <c r="Q35" s="141"/>
      <c r="R35" s="140"/>
      <c r="S35" s="141"/>
      <c r="T35" s="140"/>
      <c r="U35" s="141"/>
      <c r="V35" s="143"/>
      <c r="W35" s="142"/>
      <c r="X35" s="140"/>
      <c r="Y35" s="141"/>
      <c r="Z35" s="140"/>
      <c r="AA35" s="141"/>
      <c r="AB35" s="140"/>
      <c r="AC35" s="141"/>
      <c r="AD35" s="140"/>
      <c r="AE35" s="141"/>
      <c r="AF35" s="140"/>
      <c r="AG35" s="141"/>
      <c r="AH35" s="140"/>
      <c r="AI35" s="141"/>
      <c r="AJ35" s="140"/>
      <c r="AK35" s="141"/>
      <c r="AL35" s="753"/>
      <c r="AM35" s="202"/>
      <c r="AN35" s="143"/>
      <c r="AO35" s="142"/>
      <c r="AP35" s="143"/>
      <c r="AQ35" s="142"/>
      <c r="AR35" s="143"/>
      <c r="AS35" s="142"/>
      <c r="AT35" s="143"/>
      <c r="AU35" s="142"/>
      <c r="AV35" s="144"/>
      <c r="AW35" s="145"/>
      <c r="AX35" s="759"/>
      <c r="AY35" s="498"/>
      <c r="AZ35" s="144"/>
      <c r="BA35" s="145"/>
    </row>
    <row r="36" spans="1:53" s="1085" customFormat="1" thickBot="1" x14ac:dyDescent="0.35">
      <c r="A36" s="1086" t="s">
        <v>56</v>
      </c>
      <c r="B36" s="1089">
        <f t="shared" ref="B36:AG36" si="9">B34</f>
        <v>577228</v>
      </c>
      <c r="C36" s="1090">
        <f t="shared" si="9"/>
        <v>675423</v>
      </c>
      <c r="D36" s="1091">
        <f t="shared" si="9"/>
        <v>36094</v>
      </c>
      <c r="E36" s="1092">
        <f t="shared" si="9"/>
        <v>39111</v>
      </c>
      <c r="F36" s="1078">
        <f t="shared" si="9"/>
        <v>110003</v>
      </c>
      <c r="G36" s="1079">
        <f t="shared" si="9"/>
        <v>118917</v>
      </c>
      <c r="H36" s="1093">
        <f t="shared" si="9"/>
        <v>1237220</v>
      </c>
      <c r="I36" s="1088">
        <f t="shared" si="9"/>
        <v>881013</v>
      </c>
      <c r="J36" s="1072">
        <f t="shared" si="9"/>
        <v>85927</v>
      </c>
      <c r="K36" s="1079">
        <f t="shared" si="9"/>
        <v>77178</v>
      </c>
      <c r="L36" s="1093">
        <f t="shared" si="9"/>
        <v>307894</v>
      </c>
      <c r="M36" s="1088">
        <f t="shared" si="9"/>
        <v>264374</v>
      </c>
      <c r="N36" s="1093">
        <f t="shared" si="9"/>
        <v>44616</v>
      </c>
      <c r="O36" s="1088">
        <f t="shared" si="9"/>
        <v>51462</v>
      </c>
      <c r="P36" s="1093">
        <f t="shared" si="9"/>
        <v>43523</v>
      </c>
      <c r="Q36" s="1088">
        <f t="shared" si="9"/>
        <v>31957</v>
      </c>
      <c r="R36" s="1093">
        <f t="shared" si="9"/>
        <v>0</v>
      </c>
      <c r="S36" s="1088">
        <f t="shared" si="9"/>
        <v>204447</v>
      </c>
      <c r="T36" s="1093">
        <f t="shared" si="9"/>
        <v>65732</v>
      </c>
      <c r="U36" s="1088">
        <f t="shared" si="9"/>
        <v>56058</v>
      </c>
      <c r="V36" s="1093">
        <f t="shared" si="9"/>
        <v>3674946</v>
      </c>
      <c r="W36" s="1088">
        <f t="shared" si="9"/>
        <v>3115133</v>
      </c>
      <c r="X36" s="1093"/>
      <c r="Y36" s="1088"/>
      <c r="Z36" s="1093">
        <f t="shared" si="9"/>
        <v>136078</v>
      </c>
      <c r="AA36" s="1088">
        <f t="shared" si="9"/>
        <v>111597</v>
      </c>
      <c r="AB36" s="1093">
        <f t="shared" si="9"/>
        <v>373050</v>
      </c>
      <c r="AC36" s="1088">
        <f t="shared" si="9"/>
        <v>400873</v>
      </c>
      <c r="AD36" s="1093">
        <f t="shared" si="9"/>
        <v>636651</v>
      </c>
      <c r="AE36" s="1088">
        <f t="shared" si="9"/>
        <v>581793</v>
      </c>
      <c r="AF36" s="1093">
        <f t="shared" si="9"/>
        <v>997651</v>
      </c>
      <c r="AG36" s="1088">
        <f t="shared" si="9"/>
        <v>927348</v>
      </c>
      <c r="AH36" s="1093">
        <f>AH34</f>
        <v>290277</v>
      </c>
      <c r="AI36" s="1088">
        <f>AI34</f>
        <v>300065</v>
      </c>
      <c r="AJ36" s="1094">
        <f>AJ34</f>
        <v>244860</v>
      </c>
      <c r="AK36" s="1095">
        <f>AK34</f>
        <v>309943</v>
      </c>
      <c r="AL36" s="1096"/>
      <c r="AM36" s="1097"/>
      <c r="AN36" s="1093">
        <f t="shared" ref="AN36:AU36" si="10">AN34</f>
        <v>3009018</v>
      </c>
      <c r="AO36" s="1088">
        <f t="shared" si="10"/>
        <v>3123808</v>
      </c>
      <c r="AP36" s="1093">
        <f t="shared" si="10"/>
        <v>76405</v>
      </c>
      <c r="AQ36" s="1088">
        <f t="shared" si="10"/>
        <v>86970</v>
      </c>
      <c r="AR36" s="1093">
        <f t="shared" si="10"/>
        <v>146377</v>
      </c>
      <c r="AS36" s="1088">
        <f t="shared" si="10"/>
        <v>168032</v>
      </c>
      <c r="AT36" s="1093">
        <f t="shared" si="10"/>
        <v>479502</v>
      </c>
      <c r="AU36" s="1088">
        <f t="shared" si="10"/>
        <v>411528</v>
      </c>
      <c r="AV36" s="1087">
        <f>SUM(B36+D36+F36+H36+J36+L36+N36+P36+R36+T36+V36+X36+Z36+AB36+AD36+AF36+AH36+AJ36+AL36+AN36+AP36+AR36+AT36)</f>
        <v>12573052</v>
      </c>
      <c r="AW36" s="1088">
        <f>SUM(C36+E36+G36+I36+K36+M36+O36+Q36+S36+U36+W36+Y36+AA36+AC36+AE36+AG36+AI36+AK36+AM36+AO36+AQ36+AS36+AU36)</f>
        <v>11937030</v>
      </c>
      <c r="AX36" s="1098">
        <v>33897270</v>
      </c>
      <c r="AY36" s="1099">
        <v>35303364</v>
      </c>
      <c r="AZ36" s="1087">
        <f>AV36+AX36</f>
        <v>46470322</v>
      </c>
      <c r="BA36" s="1088">
        <f>AW36+AY36</f>
        <v>47240394</v>
      </c>
    </row>
    <row r="37" spans="1:53" s="93" customFormat="1" thickBot="1" x14ac:dyDescent="0.35">
      <c r="A37" s="507" t="s">
        <v>57</v>
      </c>
      <c r="B37" s="740"/>
      <c r="C37" s="509"/>
      <c r="D37" s="504"/>
      <c r="E37" s="497"/>
      <c r="F37" s="500"/>
      <c r="G37" s="501"/>
      <c r="H37" s="107"/>
      <c r="I37" s="108"/>
      <c r="J37" s="741"/>
      <c r="K37" s="501"/>
      <c r="L37" s="107"/>
      <c r="M37" s="108"/>
      <c r="N37" s="107"/>
      <c r="O37" s="108"/>
      <c r="P37" s="124"/>
      <c r="Q37" s="146"/>
      <c r="R37" s="124"/>
      <c r="S37" s="146"/>
      <c r="T37" s="124"/>
      <c r="U37" s="146"/>
      <c r="V37" s="107"/>
      <c r="W37" s="108"/>
      <c r="X37" s="124"/>
      <c r="Y37" s="146"/>
      <c r="Z37" s="124"/>
      <c r="AA37" s="146"/>
      <c r="AB37" s="124"/>
      <c r="AC37" s="146"/>
      <c r="AD37" s="124"/>
      <c r="AE37" s="146"/>
      <c r="AF37" s="124"/>
      <c r="AG37" s="146"/>
      <c r="AH37" s="124"/>
      <c r="AI37" s="146"/>
      <c r="AJ37" s="751"/>
      <c r="AK37" s="237"/>
      <c r="AL37" s="345"/>
      <c r="AM37" s="346"/>
      <c r="AN37" s="107"/>
      <c r="AO37" s="108"/>
      <c r="AP37" s="107"/>
      <c r="AQ37" s="108"/>
      <c r="AR37" s="107"/>
      <c r="AS37" s="108"/>
      <c r="AT37" s="107"/>
      <c r="AU37" s="108"/>
      <c r="AV37" s="347"/>
      <c r="AW37" s="348"/>
      <c r="AX37" s="759">
        <v>33998</v>
      </c>
      <c r="AY37" s="498">
        <v>37394</v>
      </c>
      <c r="AZ37" s="347"/>
      <c r="BA37" s="348"/>
    </row>
    <row r="38" spans="1:53" s="1085" customFormat="1" thickBot="1" x14ac:dyDescent="0.35">
      <c r="A38" s="1071" t="s">
        <v>54</v>
      </c>
      <c r="B38" s="1074">
        <f t="shared" ref="B38:AG38" si="11">B36</f>
        <v>577228</v>
      </c>
      <c r="C38" s="1075">
        <f t="shared" si="11"/>
        <v>675423</v>
      </c>
      <c r="D38" s="1076">
        <f t="shared" si="11"/>
        <v>36094</v>
      </c>
      <c r="E38" s="1077">
        <f t="shared" si="11"/>
        <v>39111</v>
      </c>
      <c r="F38" s="1078">
        <f t="shared" si="11"/>
        <v>110003</v>
      </c>
      <c r="G38" s="1079">
        <f t="shared" si="11"/>
        <v>118917</v>
      </c>
      <c r="H38" s="1080">
        <f t="shared" si="11"/>
        <v>1237220</v>
      </c>
      <c r="I38" s="1073">
        <f t="shared" si="11"/>
        <v>881013</v>
      </c>
      <c r="J38" s="1072">
        <f t="shared" si="11"/>
        <v>85927</v>
      </c>
      <c r="K38" s="1079">
        <f t="shared" si="11"/>
        <v>77178</v>
      </c>
      <c r="L38" s="1080">
        <f t="shared" si="11"/>
        <v>307894</v>
      </c>
      <c r="M38" s="1073">
        <f t="shared" si="11"/>
        <v>264374</v>
      </c>
      <c r="N38" s="1080">
        <f t="shared" si="11"/>
        <v>44616</v>
      </c>
      <c r="O38" s="1073">
        <f t="shared" si="11"/>
        <v>51462</v>
      </c>
      <c r="P38" s="1081">
        <f t="shared" si="11"/>
        <v>43523</v>
      </c>
      <c r="Q38" s="1082">
        <f t="shared" si="11"/>
        <v>31957</v>
      </c>
      <c r="R38" s="1081">
        <f t="shared" si="11"/>
        <v>0</v>
      </c>
      <c r="S38" s="1082">
        <f t="shared" si="11"/>
        <v>204447</v>
      </c>
      <c r="T38" s="1081">
        <f t="shared" si="11"/>
        <v>65732</v>
      </c>
      <c r="U38" s="1082">
        <f t="shared" si="11"/>
        <v>56058</v>
      </c>
      <c r="V38" s="1080">
        <f t="shared" si="11"/>
        <v>3674946</v>
      </c>
      <c r="W38" s="1073">
        <f t="shared" si="11"/>
        <v>3115133</v>
      </c>
      <c r="X38" s="1081">
        <f t="shared" si="11"/>
        <v>0</v>
      </c>
      <c r="Y38" s="1082">
        <f t="shared" si="11"/>
        <v>0</v>
      </c>
      <c r="Z38" s="1081">
        <f t="shared" si="11"/>
        <v>136078</v>
      </c>
      <c r="AA38" s="1082">
        <f t="shared" si="11"/>
        <v>111597</v>
      </c>
      <c r="AB38" s="1081">
        <f t="shared" si="11"/>
        <v>373050</v>
      </c>
      <c r="AC38" s="1082">
        <f t="shared" si="11"/>
        <v>400873</v>
      </c>
      <c r="AD38" s="1081">
        <f t="shared" si="11"/>
        <v>636651</v>
      </c>
      <c r="AE38" s="1082">
        <f t="shared" si="11"/>
        <v>581793</v>
      </c>
      <c r="AF38" s="1081">
        <f t="shared" si="11"/>
        <v>997651</v>
      </c>
      <c r="AG38" s="1082">
        <f t="shared" si="11"/>
        <v>927348</v>
      </c>
      <c r="AH38" s="1081">
        <f t="shared" ref="AH38:AU38" si="12">AH36</f>
        <v>290277</v>
      </c>
      <c r="AI38" s="1082">
        <f t="shared" si="12"/>
        <v>300065</v>
      </c>
      <c r="AJ38" s="1083">
        <f t="shared" si="12"/>
        <v>244860</v>
      </c>
      <c r="AK38" s="1084">
        <f t="shared" si="12"/>
        <v>309943</v>
      </c>
      <c r="AL38" s="1083">
        <f t="shared" si="12"/>
        <v>0</v>
      </c>
      <c r="AM38" s="1084">
        <f t="shared" si="12"/>
        <v>0</v>
      </c>
      <c r="AN38" s="1080">
        <f t="shared" si="12"/>
        <v>3009018</v>
      </c>
      <c r="AO38" s="1073">
        <f t="shared" si="12"/>
        <v>3123808</v>
      </c>
      <c r="AP38" s="1080">
        <f t="shared" si="12"/>
        <v>76405</v>
      </c>
      <c r="AQ38" s="1073">
        <f t="shared" si="12"/>
        <v>86970</v>
      </c>
      <c r="AR38" s="1080">
        <f t="shared" si="12"/>
        <v>146377</v>
      </c>
      <c r="AS38" s="1073">
        <f t="shared" si="12"/>
        <v>168032</v>
      </c>
      <c r="AT38" s="1080">
        <f t="shared" si="12"/>
        <v>479502</v>
      </c>
      <c r="AU38" s="1073">
        <f t="shared" si="12"/>
        <v>411528</v>
      </c>
      <c r="AV38" s="1072">
        <f>SUM(B38+D38+F38+H38+J38+L38+N38+P38+R38+T38+V38+X38+Z38+AB38+AD38+AF38+AH38+AJ38+AL38+AN38+AP38+AR38+AT38)</f>
        <v>12573052</v>
      </c>
      <c r="AW38" s="1073">
        <f>SUM(C38+E38+G38+I38+K38+M38+O38+Q38+S38+U38+W38+Y38+AA38+AC38+AE38+AG38+AI38+AK38+AM38+AO38+AQ38+AS38+AU38)</f>
        <v>11937030</v>
      </c>
      <c r="AX38" s="1072">
        <f>AX34</f>
        <v>33931266</v>
      </c>
      <c r="AY38" s="1079">
        <f>AY34</f>
        <v>35343756</v>
      </c>
      <c r="AZ38" s="1072">
        <f>AV38+AX38</f>
        <v>46504318</v>
      </c>
      <c r="BA38" s="1073">
        <f>AW38+AY38</f>
        <v>47280786</v>
      </c>
    </row>
    <row r="39" spans="1:53" s="93" customFormat="1" ht="14.25" x14ac:dyDescent="0.3">
      <c r="A39" s="81"/>
      <c r="E39" s="147"/>
      <c r="V39" s="147"/>
      <c r="W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</row>
  </sheetData>
  <mergeCells count="29">
    <mergeCell ref="J3:K3"/>
    <mergeCell ref="R3:S3"/>
    <mergeCell ref="P3:Q3"/>
    <mergeCell ref="AL3:AM3"/>
    <mergeCell ref="L3:M3"/>
    <mergeCell ref="AB3:AC3"/>
    <mergeCell ref="X3:Y3"/>
    <mergeCell ref="T3:U3"/>
    <mergeCell ref="AZ3:BA3"/>
    <mergeCell ref="AX3:AY3"/>
    <mergeCell ref="AV3:AW3"/>
    <mergeCell ref="AT3:AU3"/>
    <mergeCell ref="AR3:AS3"/>
    <mergeCell ref="A1:AY1"/>
    <mergeCell ref="A2:AY2"/>
    <mergeCell ref="A3:A4"/>
    <mergeCell ref="Z3:AA3"/>
    <mergeCell ref="V3:W3"/>
    <mergeCell ref="F3:G3"/>
    <mergeCell ref="D3:E3"/>
    <mergeCell ref="B3:C3"/>
    <mergeCell ref="AJ3:AK3"/>
    <mergeCell ref="AH3:AI3"/>
    <mergeCell ref="AN3:AO3"/>
    <mergeCell ref="AP3:AQ3"/>
    <mergeCell ref="N3:O3"/>
    <mergeCell ref="AF3:AG3"/>
    <mergeCell ref="AD3:AE3"/>
    <mergeCell ref="H3:I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AA14"/>
  <sheetViews>
    <sheetView workbookViewId="0">
      <pane xSplit="1" topLeftCell="B1" activePane="topRight" state="frozen"/>
      <selection pane="topRight" activeCell="I8" sqref="I8"/>
    </sheetView>
  </sheetViews>
  <sheetFormatPr defaultRowHeight="16.5" x14ac:dyDescent="0.3"/>
  <cols>
    <col min="1" max="1" width="45.42578125" style="90" bestFit="1" customWidth="1"/>
    <col min="2" max="2" width="10.42578125" style="90" bestFit="1" customWidth="1"/>
    <col min="3" max="3" width="10.42578125" style="90" customWidth="1"/>
    <col min="4" max="4" width="10.7109375" style="90" bestFit="1" customWidth="1"/>
    <col min="5" max="5" width="10.5703125" style="90" bestFit="1" customWidth="1"/>
    <col min="6" max="6" width="10.42578125" style="90" bestFit="1" customWidth="1"/>
    <col min="7" max="7" width="11.42578125" style="90" bestFit="1" customWidth="1"/>
    <col min="8" max="21" width="10.42578125" style="90" bestFit="1" customWidth="1"/>
    <col min="22" max="22" width="10.7109375" style="90" bestFit="1" customWidth="1"/>
    <col min="23" max="24" width="10.42578125" style="90" bestFit="1" customWidth="1"/>
    <col min="25" max="25" width="10.85546875" style="90" bestFit="1" customWidth="1"/>
    <col min="26" max="26" width="10.42578125" style="90" bestFit="1" customWidth="1"/>
    <col min="27" max="27" width="10.42578125" style="59" bestFit="1" customWidth="1"/>
    <col min="28" max="16384" width="9.140625" style="90"/>
  </cols>
  <sheetData>
    <row r="1" spans="1:27" s="393" customFormat="1" ht="17.25" thickBot="1" x14ac:dyDescent="0.4">
      <c r="A1" s="1431" t="s">
        <v>430</v>
      </c>
      <c r="B1" s="1431"/>
      <c r="C1" s="1431"/>
      <c r="D1" s="1431"/>
      <c r="E1" s="1431"/>
      <c r="F1" s="1431"/>
      <c r="G1" s="1431"/>
      <c r="H1" s="1431"/>
      <c r="I1" s="1431"/>
      <c r="J1" s="1431"/>
      <c r="K1" s="1431"/>
      <c r="L1" s="1431"/>
      <c r="M1" s="1431"/>
      <c r="N1" s="1431"/>
      <c r="O1" s="1431"/>
      <c r="P1" s="1431"/>
      <c r="Q1" s="1431"/>
      <c r="R1" s="1431"/>
      <c r="S1" s="1431"/>
      <c r="T1" s="1431"/>
      <c r="U1" s="1431"/>
      <c r="V1" s="1431"/>
      <c r="W1" s="1431"/>
      <c r="X1" s="1431"/>
      <c r="Y1" s="1431"/>
      <c r="Z1" s="1431"/>
      <c r="AA1" s="1431"/>
    </row>
    <row r="2" spans="1:27" ht="112.5" customHeight="1" thickBot="1" x14ac:dyDescent="0.35">
      <c r="A2" s="1430" t="s">
        <v>0</v>
      </c>
      <c r="B2" s="517" t="s">
        <v>158</v>
      </c>
      <c r="C2" s="430" t="s">
        <v>159</v>
      </c>
      <c r="D2" s="430" t="s">
        <v>160</v>
      </c>
      <c r="E2" s="430" t="s">
        <v>161</v>
      </c>
      <c r="F2" s="430" t="s">
        <v>162</v>
      </c>
      <c r="G2" s="430" t="s">
        <v>163</v>
      </c>
      <c r="H2" s="430" t="s">
        <v>312</v>
      </c>
      <c r="I2" s="430" t="s">
        <v>164</v>
      </c>
      <c r="J2" s="430" t="s">
        <v>165</v>
      </c>
      <c r="K2" s="430" t="s">
        <v>166</v>
      </c>
      <c r="L2" s="430" t="s">
        <v>167</v>
      </c>
      <c r="M2" s="430" t="s">
        <v>168</v>
      </c>
      <c r="N2" s="430" t="s">
        <v>381</v>
      </c>
      <c r="O2" s="430" t="s">
        <v>169</v>
      </c>
      <c r="P2" s="430" t="s">
        <v>170</v>
      </c>
      <c r="Q2" s="430" t="s">
        <v>171</v>
      </c>
      <c r="R2" s="430" t="s">
        <v>172</v>
      </c>
      <c r="S2" s="430" t="s">
        <v>173</v>
      </c>
      <c r="T2" s="430" t="s">
        <v>174</v>
      </c>
      <c r="U2" s="430" t="s">
        <v>175</v>
      </c>
      <c r="V2" s="430" t="s">
        <v>176</v>
      </c>
      <c r="W2" s="430" t="s">
        <v>177</v>
      </c>
      <c r="X2" s="430" t="s">
        <v>178</v>
      </c>
      <c r="Y2" s="512" t="s">
        <v>1</v>
      </c>
      <c r="Z2" s="430" t="s">
        <v>179</v>
      </c>
      <c r="AA2" s="662" t="s">
        <v>2</v>
      </c>
    </row>
    <row r="3" spans="1:27" s="433" customFormat="1" ht="28.5" customHeight="1" thickBot="1" x14ac:dyDescent="0.35">
      <c r="A3" s="1430"/>
      <c r="B3" s="511" t="s">
        <v>439</v>
      </c>
      <c r="C3" s="511" t="s">
        <v>439</v>
      </c>
      <c r="D3" s="511" t="s">
        <v>439</v>
      </c>
      <c r="E3" s="511" t="s">
        <v>439</v>
      </c>
      <c r="F3" s="511" t="s">
        <v>439</v>
      </c>
      <c r="G3" s="511" t="s">
        <v>439</v>
      </c>
      <c r="H3" s="511" t="s">
        <v>439</v>
      </c>
      <c r="I3" s="511" t="s">
        <v>439</v>
      </c>
      <c r="J3" s="511" t="s">
        <v>439</v>
      </c>
      <c r="K3" s="511" t="s">
        <v>439</v>
      </c>
      <c r="L3" s="511" t="s">
        <v>439</v>
      </c>
      <c r="M3" s="511" t="s">
        <v>439</v>
      </c>
      <c r="N3" s="511" t="s">
        <v>439</v>
      </c>
      <c r="O3" s="511" t="s">
        <v>439</v>
      </c>
      <c r="P3" s="511" t="s">
        <v>439</v>
      </c>
      <c r="Q3" s="511" t="s">
        <v>439</v>
      </c>
      <c r="R3" s="511" t="s">
        <v>439</v>
      </c>
      <c r="S3" s="511" t="s">
        <v>439</v>
      </c>
      <c r="T3" s="511" t="s">
        <v>439</v>
      </c>
      <c r="U3" s="511" t="s">
        <v>439</v>
      </c>
      <c r="V3" s="511" t="s">
        <v>439</v>
      </c>
      <c r="W3" s="511" t="s">
        <v>439</v>
      </c>
      <c r="X3" s="511" t="s">
        <v>439</v>
      </c>
      <c r="Y3" s="511" t="s">
        <v>439</v>
      </c>
      <c r="Z3" s="511" t="s">
        <v>439</v>
      </c>
      <c r="AA3" s="511" t="s">
        <v>439</v>
      </c>
    </row>
    <row r="4" spans="1:27" ht="18" x14ac:dyDescent="0.35">
      <c r="A4" s="387" t="s">
        <v>276</v>
      </c>
      <c r="B4" s="664"/>
      <c r="C4" s="664"/>
      <c r="D4" s="1226" t="s">
        <v>295</v>
      </c>
      <c r="E4" s="664"/>
      <c r="F4" s="664"/>
      <c r="G4" s="664"/>
      <c r="H4" s="664"/>
      <c r="I4" s="664"/>
      <c r="J4" s="835" t="s">
        <v>295</v>
      </c>
      <c r="K4" s="836"/>
      <c r="L4" s="663"/>
      <c r="M4" s="664"/>
      <c r="N4" s="664"/>
      <c r="O4" s="664"/>
      <c r="P4" s="664"/>
      <c r="Q4" s="664"/>
      <c r="R4" s="664" t="s">
        <v>295</v>
      </c>
      <c r="S4" s="664"/>
      <c r="T4" s="664"/>
      <c r="U4" s="664"/>
      <c r="V4" s="664"/>
      <c r="W4" s="664"/>
      <c r="X4" s="664"/>
      <c r="Y4" s="663"/>
      <c r="Z4" s="664"/>
      <c r="AA4" s="663"/>
    </row>
    <row r="5" spans="1:27" x14ac:dyDescent="0.3">
      <c r="A5" s="383" t="s">
        <v>277</v>
      </c>
      <c r="B5" s="659">
        <v>6829</v>
      </c>
      <c r="C5" s="659"/>
      <c r="D5" s="659"/>
      <c r="E5" s="659"/>
      <c r="F5" s="659"/>
      <c r="G5" s="659"/>
      <c r="H5" s="659"/>
      <c r="I5" s="659"/>
      <c r="J5" s="659"/>
      <c r="K5" s="665"/>
      <c r="L5" s="660"/>
      <c r="M5" s="659"/>
      <c r="N5" s="659"/>
      <c r="O5" s="659"/>
      <c r="P5" s="659"/>
      <c r="Q5" s="659">
        <v>2588</v>
      </c>
      <c r="R5" s="659"/>
      <c r="S5" s="659"/>
      <c r="T5" s="659"/>
      <c r="U5" s="659"/>
      <c r="V5" s="659"/>
      <c r="W5" s="659"/>
      <c r="X5" s="659"/>
      <c r="Y5" s="660">
        <f>SUM(B5:X5)</f>
        <v>9417</v>
      </c>
      <c r="Z5" s="659"/>
      <c r="AA5" s="660">
        <f>Y5+Z5</f>
        <v>9417</v>
      </c>
    </row>
    <row r="6" spans="1:27" x14ac:dyDescent="0.3">
      <c r="A6" s="383" t="s">
        <v>278</v>
      </c>
      <c r="B6" s="659">
        <v>42298</v>
      </c>
      <c r="C6" s="666">
        <v>135593</v>
      </c>
      <c r="D6" s="659"/>
      <c r="E6" s="659">
        <v>105996</v>
      </c>
      <c r="F6" s="659">
        <v>20744</v>
      </c>
      <c r="G6" s="659">
        <v>12500</v>
      </c>
      <c r="H6" s="659">
        <v>83292</v>
      </c>
      <c r="I6" s="659"/>
      <c r="J6" s="659"/>
      <c r="K6" s="665">
        <v>10000</v>
      </c>
      <c r="L6" s="660">
        <v>371640</v>
      </c>
      <c r="M6" s="659">
        <v>352996</v>
      </c>
      <c r="N6" s="659"/>
      <c r="O6" s="659">
        <v>67909</v>
      </c>
      <c r="P6" s="659">
        <v>5204</v>
      </c>
      <c r="Q6" s="659">
        <v>6617</v>
      </c>
      <c r="R6" s="659"/>
      <c r="S6" s="659">
        <v>30316</v>
      </c>
      <c r="T6" s="659"/>
      <c r="U6" s="659">
        <v>5753</v>
      </c>
      <c r="V6" s="659">
        <v>399</v>
      </c>
      <c r="W6" s="659">
        <v>38861</v>
      </c>
      <c r="X6" s="659"/>
      <c r="Y6" s="660">
        <f t="shared" ref="Y6:Y14" si="0">SUM(B6:X6)</f>
        <v>1290118</v>
      </c>
      <c r="Z6" s="659"/>
      <c r="AA6" s="660">
        <f t="shared" ref="AA6:AA14" si="1">Y6+Z6</f>
        <v>1290118</v>
      </c>
    </row>
    <row r="7" spans="1:27" x14ac:dyDescent="0.3">
      <c r="A7" s="383" t="s">
        <v>279</v>
      </c>
      <c r="B7" s="659"/>
      <c r="C7" s="666"/>
      <c r="D7" s="659"/>
      <c r="E7" s="659">
        <v>5509</v>
      </c>
      <c r="F7" s="659">
        <v>448</v>
      </c>
      <c r="G7" s="659"/>
      <c r="H7" s="659"/>
      <c r="I7" s="659"/>
      <c r="J7" s="659"/>
      <c r="K7" s="665"/>
      <c r="L7" s="660"/>
      <c r="M7" s="659">
        <v>3378</v>
      </c>
      <c r="N7" s="659"/>
      <c r="O7" s="659"/>
      <c r="P7" s="659"/>
      <c r="Q7" s="659"/>
      <c r="R7" s="659">
        <v>423</v>
      </c>
      <c r="S7" s="659"/>
      <c r="T7" s="659"/>
      <c r="U7" s="659"/>
      <c r="V7" s="659"/>
      <c r="W7" s="659"/>
      <c r="X7" s="659">
        <v>5866</v>
      </c>
      <c r="Y7" s="660">
        <f t="shared" si="0"/>
        <v>15624</v>
      </c>
      <c r="Z7" s="659"/>
      <c r="AA7" s="660">
        <f t="shared" si="1"/>
        <v>15624</v>
      </c>
    </row>
    <row r="8" spans="1:27" x14ac:dyDescent="0.3">
      <c r="A8" s="383" t="s">
        <v>280</v>
      </c>
      <c r="B8" s="659">
        <v>4061</v>
      </c>
      <c r="C8" s="666"/>
      <c r="D8" s="659"/>
      <c r="E8" s="659"/>
      <c r="F8" s="659"/>
      <c r="G8" s="659"/>
      <c r="H8" s="659"/>
      <c r="I8" s="659"/>
      <c r="J8" s="659"/>
      <c r="K8" s="665"/>
      <c r="L8" s="660"/>
      <c r="M8" s="659"/>
      <c r="N8" s="659"/>
      <c r="O8" s="659"/>
      <c r="P8" s="659"/>
      <c r="Q8" s="659"/>
      <c r="R8" s="659"/>
      <c r="S8" s="659"/>
      <c r="T8" s="659"/>
      <c r="U8" s="659"/>
      <c r="V8" s="659"/>
      <c r="W8" s="659"/>
      <c r="X8" s="659"/>
      <c r="Y8" s="660">
        <f t="shared" si="0"/>
        <v>4061</v>
      </c>
      <c r="Z8" s="659">
        <v>2942</v>
      </c>
      <c r="AA8" s="660">
        <f t="shared" si="1"/>
        <v>7003</v>
      </c>
    </row>
    <row r="9" spans="1:27" x14ac:dyDescent="0.3">
      <c r="A9" s="383" t="s">
        <v>281</v>
      </c>
      <c r="B9" s="659"/>
      <c r="C9" s="666"/>
      <c r="D9" s="659"/>
      <c r="E9" s="659"/>
      <c r="F9" s="659"/>
      <c r="G9" s="659"/>
      <c r="H9" s="659"/>
      <c r="I9" s="659"/>
      <c r="J9" s="659"/>
      <c r="K9" s="665"/>
      <c r="L9" s="660"/>
      <c r="M9" s="659"/>
      <c r="N9" s="659"/>
      <c r="O9" s="659"/>
      <c r="P9" s="659"/>
      <c r="Q9" s="659"/>
      <c r="R9" s="659"/>
      <c r="S9" s="659"/>
      <c r="T9" s="659"/>
      <c r="U9" s="659"/>
      <c r="V9" s="659"/>
      <c r="W9" s="659"/>
      <c r="X9" s="659"/>
      <c r="Y9" s="660">
        <f t="shared" si="0"/>
        <v>0</v>
      </c>
      <c r="Z9" s="659"/>
      <c r="AA9" s="660">
        <f t="shared" si="1"/>
        <v>0</v>
      </c>
    </row>
    <row r="10" spans="1:27" x14ac:dyDescent="0.3">
      <c r="A10" s="383" t="s">
        <v>282</v>
      </c>
      <c r="B10" s="659"/>
      <c r="C10" s="666"/>
      <c r="D10" s="659"/>
      <c r="E10" s="659"/>
      <c r="F10" s="659"/>
      <c r="G10" s="659"/>
      <c r="H10" s="659"/>
      <c r="I10" s="659"/>
      <c r="J10" s="659"/>
      <c r="K10" s="665"/>
      <c r="L10" s="660"/>
      <c r="M10" s="659"/>
      <c r="N10" s="659"/>
      <c r="O10" s="659"/>
      <c r="P10" s="659"/>
      <c r="Q10" s="659"/>
      <c r="R10" s="659"/>
      <c r="S10" s="659"/>
      <c r="T10" s="659"/>
      <c r="U10" s="659"/>
      <c r="V10" s="659"/>
      <c r="W10" s="659"/>
      <c r="X10" s="659"/>
      <c r="Y10" s="660">
        <f t="shared" si="0"/>
        <v>0</v>
      </c>
      <c r="Z10" s="659"/>
      <c r="AA10" s="660">
        <f t="shared" si="1"/>
        <v>0</v>
      </c>
    </row>
    <row r="11" spans="1:27" x14ac:dyDescent="0.3">
      <c r="A11" s="383" t="s">
        <v>283</v>
      </c>
      <c r="B11" s="659"/>
      <c r="C11" s="666"/>
      <c r="D11" s="659"/>
      <c r="E11" s="659"/>
      <c r="F11" s="659"/>
      <c r="G11" s="659"/>
      <c r="H11" s="659"/>
      <c r="I11" s="659"/>
      <c r="J11" s="659"/>
      <c r="K11" s="665"/>
      <c r="L11" s="660"/>
      <c r="M11" s="659"/>
      <c r="N11" s="659"/>
      <c r="O11" s="659"/>
      <c r="P11" s="659"/>
      <c r="Q11" s="659"/>
      <c r="R11" s="659"/>
      <c r="S11" s="659"/>
      <c r="T11" s="659"/>
      <c r="U11" s="659"/>
      <c r="V11" s="659"/>
      <c r="W11" s="659"/>
      <c r="X11" s="659"/>
      <c r="Y11" s="660">
        <f t="shared" si="0"/>
        <v>0</v>
      </c>
      <c r="Z11" s="659"/>
      <c r="AA11" s="660">
        <f t="shared" si="1"/>
        <v>0</v>
      </c>
    </row>
    <row r="12" spans="1:27" x14ac:dyDescent="0.3">
      <c r="A12" s="383" t="s">
        <v>284</v>
      </c>
      <c r="B12" s="659">
        <f>5683+5000</f>
        <v>10683</v>
      </c>
      <c r="C12" s="666"/>
      <c r="D12" s="659"/>
      <c r="E12" s="659"/>
      <c r="F12" s="659"/>
      <c r="G12" s="659"/>
      <c r="H12" s="659"/>
      <c r="I12" s="659"/>
      <c r="J12" s="659"/>
      <c r="K12" s="665"/>
      <c r="L12" s="660"/>
      <c r="M12" s="659"/>
      <c r="N12" s="659"/>
      <c r="O12" s="659"/>
      <c r="P12" s="659"/>
      <c r="Q12" s="659">
        <f>4175+1984</f>
        <v>6159</v>
      </c>
      <c r="R12" s="659"/>
      <c r="S12" s="659"/>
      <c r="T12" s="659"/>
      <c r="U12" s="659">
        <v>170</v>
      </c>
      <c r="V12" s="659"/>
      <c r="W12" s="659">
        <v>1250</v>
      </c>
      <c r="X12" s="659">
        <f>4880+4880</f>
        <v>9760</v>
      </c>
      <c r="Y12" s="660">
        <f t="shared" si="0"/>
        <v>28022</v>
      </c>
      <c r="Z12" s="659">
        <v>-35</v>
      </c>
      <c r="AA12" s="660">
        <f t="shared" si="1"/>
        <v>27987</v>
      </c>
    </row>
    <row r="13" spans="1:27" x14ac:dyDescent="0.3">
      <c r="A13" s="383" t="s">
        <v>285</v>
      </c>
      <c r="B13" s="659">
        <v>31326</v>
      </c>
      <c r="C13" s="666"/>
      <c r="D13" s="659"/>
      <c r="E13" s="659">
        <v>933811</v>
      </c>
      <c r="F13" s="659"/>
      <c r="G13" s="659">
        <v>27807</v>
      </c>
      <c r="H13" s="659"/>
      <c r="I13" s="659"/>
      <c r="J13" s="659"/>
      <c r="K13" s="665"/>
      <c r="L13" s="660">
        <v>709816</v>
      </c>
      <c r="M13" s="659">
        <v>480695</v>
      </c>
      <c r="N13" s="659">
        <v>31530</v>
      </c>
      <c r="O13" s="659"/>
      <c r="P13" s="659"/>
      <c r="Q13" s="659">
        <v>146721</v>
      </c>
      <c r="R13" s="659"/>
      <c r="S13" s="659">
        <v>2586</v>
      </c>
      <c r="T13" s="659"/>
      <c r="U13" s="659">
        <v>1186443</v>
      </c>
      <c r="V13" s="659">
        <v>60710</v>
      </c>
      <c r="W13" s="659">
        <v>31985</v>
      </c>
      <c r="X13" s="659">
        <v>65991</v>
      </c>
      <c r="Y13" s="660">
        <f t="shared" si="0"/>
        <v>3709421</v>
      </c>
      <c r="Z13" s="659">
        <v>3946297</v>
      </c>
      <c r="AA13" s="660">
        <f t="shared" si="1"/>
        <v>7655718</v>
      </c>
    </row>
    <row r="14" spans="1:27" s="1029" customFormat="1" ht="14.25" thickBot="1" x14ac:dyDescent="0.3">
      <c r="A14" s="1100" t="s">
        <v>54</v>
      </c>
      <c r="B14" s="1101">
        <f t="shared" ref="B14:Z14" si="2">SUM(B4:B13)</f>
        <v>95197</v>
      </c>
      <c r="C14" s="1102">
        <f t="shared" si="2"/>
        <v>135593</v>
      </c>
      <c r="D14" s="1102">
        <f t="shared" si="2"/>
        <v>0</v>
      </c>
      <c r="E14" s="1102">
        <f t="shared" si="2"/>
        <v>1045316</v>
      </c>
      <c r="F14" s="1102">
        <f t="shared" si="2"/>
        <v>21192</v>
      </c>
      <c r="G14" s="1102">
        <f t="shared" si="2"/>
        <v>40307</v>
      </c>
      <c r="H14" s="1102">
        <f t="shared" si="2"/>
        <v>83292</v>
      </c>
      <c r="I14" s="1102">
        <f t="shared" si="2"/>
        <v>0</v>
      </c>
      <c r="J14" s="1102">
        <f t="shared" si="2"/>
        <v>0</v>
      </c>
      <c r="K14" s="1103">
        <f t="shared" si="2"/>
        <v>10000</v>
      </c>
      <c r="L14" s="1100">
        <f t="shared" si="2"/>
        <v>1081456</v>
      </c>
      <c r="M14" s="1101">
        <f t="shared" si="2"/>
        <v>837069</v>
      </c>
      <c r="N14" s="1102">
        <f>SUM(N4:N13)</f>
        <v>31530</v>
      </c>
      <c r="O14" s="1102">
        <f t="shared" si="2"/>
        <v>67909</v>
      </c>
      <c r="P14" s="1102">
        <f t="shared" si="2"/>
        <v>5204</v>
      </c>
      <c r="Q14" s="1102">
        <f t="shared" si="2"/>
        <v>162085</v>
      </c>
      <c r="R14" s="1102">
        <f t="shared" si="2"/>
        <v>423</v>
      </c>
      <c r="S14" s="1102">
        <f t="shared" si="2"/>
        <v>32902</v>
      </c>
      <c r="T14" s="1102">
        <f t="shared" si="2"/>
        <v>0</v>
      </c>
      <c r="U14" s="1102">
        <f t="shared" si="2"/>
        <v>1192366</v>
      </c>
      <c r="V14" s="1102">
        <f t="shared" si="2"/>
        <v>61109</v>
      </c>
      <c r="W14" s="1102">
        <f t="shared" si="2"/>
        <v>72096</v>
      </c>
      <c r="X14" s="1102">
        <f t="shared" si="2"/>
        <v>81617</v>
      </c>
      <c r="Y14" s="1100">
        <f t="shared" si="0"/>
        <v>5056663</v>
      </c>
      <c r="Z14" s="1102">
        <f t="shared" si="2"/>
        <v>3949204</v>
      </c>
      <c r="AA14" s="1100">
        <f t="shared" si="1"/>
        <v>9005867</v>
      </c>
    </row>
  </sheetData>
  <mergeCells count="2">
    <mergeCell ref="A2:A3"/>
    <mergeCell ref="A1:AA1"/>
  </mergeCells>
  <phoneticPr fontId="15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AA8"/>
  <sheetViews>
    <sheetView workbookViewId="0">
      <pane xSplit="1" topLeftCell="Q1" activePane="topRight" state="frozen"/>
      <selection pane="topRight" activeCell="AC2" sqref="AC2"/>
    </sheetView>
  </sheetViews>
  <sheetFormatPr defaultRowHeight="16.5" x14ac:dyDescent="0.3"/>
  <cols>
    <col min="1" max="1" width="50.85546875" style="90" bestFit="1" customWidth="1"/>
    <col min="2" max="4" width="10.42578125" style="90" bestFit="1" customWidth="1"/>
    <col min="5" max="5" width="10.42578125" style="90" customWidth="1"/>
    <col min="6" max="13" width="10.42578125" style="90" bestFit="1" customWidth="1"/>
    <col min="14" max="14" width="10.42578125" style="90" customWidth="1"/>
    <col min="15" max="15" width="10.42578125" style="90" bestFit="1" customWidth="1"/>
    <col min="16" max="17" width="10.42578125" style="90" customWidth="1"/>
    <col min="18" max="18" width="11" style="90" bestFit="1" customWidth="1"/>
    <col min="19" max="24" width="10.42578125" style="90" bestFit="1" customWidth="1"/>
    <col min="25" max="25" width="10.85546875" style="90" bestFit="1" customWidth="1"/>
    <col min="26" max="26" width="10.42578125" style="90" customWidth="1"/>
    <col min="27" max="27" width="10.42578125" style="90" bestFit="1" customWidth="1"/>
    <col min="28" max="16384" width="9.140625" style="90"/>
  </cols>
  <sheetData>
    <row r="1" spans="1:27" s="393" customFormat="1" ht="17.25" thickBot="1" x14ac:dyDescent="0.4">
      <c r="A1" s="394" t="s">
        <v>436</v>
      </c>
    </row>
    <row r="2" spans="1:27" ht="129" thickBot="1" x14ac:dyDescent="0.35">
      <c r="A2" s="1432" t="s">
        <v>0</v>
      </c>
      <c r="B2" s="510" t="s">
        <v>158</v>
      </c>
      <c r="C2" s="571" t="s">
        <v>159</v>
      </c>
      <c r="D2" s="571" t="s">
        <v>160</v>
      </c>
      <c r="E2" s="571" t="s">
        <v>161</v>
      </c>
      <c r="F2" s="571" t="s">
        <v>162</v>
      </c>
      <c r="G2" s="571" t="s">
        <v>163</v>
      </c>
      <c r="H2" s="571" t="s">
        <v>312</v>
      </c>
      <c r="I2" s="571" t="s">
        <v>164</v>
      </c>
      <c r="J2" s="571" t="s">
        <v>165</v>
      </c>
      <c r="K2" s="571" t="s">
        <v>166</v>
      </c>
      <c r="L2" s="571" t="s">
        <v>167</v>
      </c>
      <c r="M2" s="571" t="s">
        <v>168</v>
      </c>
      <c r="N2" s="571" t="s">
        <v>381</v>
      </c>
      <c r="O2" s="571" t="s">
        <v>169</v>
      </c>
      <c r="P2" s="571" t="s">
        <v>170</v>
      </c>
      <c r="Q2" s="571" t="s">
        <v>171</v>
      </c>
      <c r="R2" s="571" t="s">
        <v>172</v>
      </c>
      <c r="S2" s="571" t="s">
        <v>173</v>
      </c>
      <c r="T2" s="571" t="s">
        <v>174</v>
      </c>
      <c r="U2" s="571" t="s">
        <v>175</v>
      </c>
      <c r="V2" s="571" t="s">
        <v>176</v>
      </c>
      <c r="W2" s="571" t="s">
        <v>177</v>
      </c>
      <c r="X2" s="571" t="s">
        <v>178</v>
      </c>
      <c r="Y2" s="571" t="s">
        <v>1</v>
      </c>
      <c r="Z2" s="571" t="s">
        <v>179</v>
      </c>
      <c r="AA2" s="571" t="s">
        <v>2</v>
      </c>
    </row>
    <row r="3" spans="1:27" s="433" customFormat="1" ht="31.5" customHeight="1" thickBot="1" x14ac:dyDescent="0.35">
      <c r="A3" s="1433"/>
      <c r="B3" s="511" t="s">
        <v>439</v>
      </c>
      <c r="C3" s="511" t="s">
        <v>439</v>
      </c>
      <c r="D3" s="511" t="s">
        <v>439</v>
      </c>
      <c r="E3" s="511" t="s">
        <v>439</v>
      </c>
      <c r="F3" s="511" t="s">
        <v>439</v>
      </c>
      <c r="G3" s="511" t="s">
        <v>439</v>
      </c>
      <c r="H3" s="511" t="s">
        <v>439</v>
      </c>
      <c r="I3" s="511" t="s">
        <v>439</v>
      </c>
      <c r="J3" s="511" t="s">
        <v>439</v>
      </c>
      <c r="K3" s="511" t="s">
        <v>439</v>
      </c>
      <c r="L3" s="511" t="s">
        <v>439</v>
      </c>
      <c r="M3" s="511" t="s">
        <v>439</v>
      </c>
      <c r="N3" s="511" t="s">
        <v>439</v>
      </c>
      <c r="O3" s="511" t="s">
        <v>439</v>
      </c>
      <c r="P3" s="511" t="s">
        <v>439</v>
      </c>
      <c r="Q3" s="511" t="s">
        <v>439</v>
      </c>
      <c r="R3" s="511" t="s">
        <v>439</v>
      </c>
      <c r="S3" s="511" t="s">
        <v>439</v>
      </c>
      <c r="T3" s="511" t="s">
        <v>439</v>
      </c>
      <c r="U3" s="511" t="s">
        <v>439</v>
      </c>
      <c r="V3" s="511" t="s">
        <v>439</v>
      </c>
      <c r="W3" s="511" t="s">
        <v>439</v>
      </c>
      <c r="X3" s="511" t="s">
        <v>439</v>
      </c>
      <c r="Y3" s="511" t="s">
        <v>439</v>
      </c>
      <c r="Z3" s="511" t="s">
        <v>439</v>
      </c>
      <c r="AA3" s="511" t="s">
        <v>439</v>
      </c>
    </row>
    <row r="4" spans="1:27" ht="18" x14ac:dyDescent="0.35">
      <c r="A4" s="265" t="s">
        <v>286</v>
      </c>
      <c r="B4" s="809">
        <v>50000</v>
      </c>
      <c r="C4" s="384">
        <v>7000</v>
      </c>
      <c r="D4" s="1340" t="s">
        <v>295</v>
      </c>
      <c r="E4" s="809" t="s">
        <v>295</v>
      </c>
      <c r="F4" s="384">
        <v>6000</v>
      </c>
      <c r="G4" s="1227" t="s">
        <v>295</v>
      </c>
      <c r="H4" s="809" t="s">
        <v>295</v>
      </c>
      <c r="I4" s="1228" t="s">
        <v>295</v>
      </c>
      <c r="J4" s="809" t="s">
        <v>295</v>
      </c>
      <c r="K4" s="384">
        <v>3000</v>
      </c>
      <c r="L4" s="384">
        <v>95000</v>
      </c>
      <c r="M4" s="809">
        <v>120000</v>
      </c>
      <c r="N4" s="809" t="s">
        <v>295</v>
      </c>
      <c r="O4" s="384">
        <v>12500</v>
      </c>
      <c r="P4" s="809" t="s">
        <v>295</v>
      </c>
      <c r="Q4" s="809">
        <v>49600</v>
      </c>
      <c r="R4" s="384">
        <v>40000</v>
      </c>
      <c r="S4" s="384" t="s">
        <v>295</v>
      </c>
      <c r="T4" s="809" t="s">
        <v>295</v>
      </c>
      <c r="U4" s="809" t="s">
        <v>295</v>
      </c>
      <c r="V4" s="809" t="s">
        <v>295</v>
      </c>
      <c r="W4" s="810">
        <v>12500</v>
      </c>
      <c r="X4" s="811">
        <v>97600</v>
      </c>
      <c r="Y4" s="384">
        <f>SUM(B4:X4)</f>
        <v>493200</v>
      </c>
      <c r="Z4" s="388"/>
      <c r="AA4" s="390">
        <f>SUM(Y4+Z4)</f>
        <v>493200</v>
      </c>
    </row>
    <row r="5" spans="1:27" x14ac:dyDescent="0.3">
      <c r="A5" s="266" t="s">
        <v>287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92"/>
      <c r="X5" s="386"/>
      <c r="Y5" s="385"/>
      <c r="Z5" s="389"/>
      <c r="AA5" s="391"/>
    </row>
    <row r="6" spans="1:27" x14ac:dyDescent="0.3">
      <c r="A6" s="266" t="s">
        <v>288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92"/>
      <c r="X6" s="386"/>
      <c r="Y6" s="385"/>
      <c r="Z6" s="389"/>
      <c r="AA6" s="391"/>
    </row>
    <row r="7" spans="1:27" x14ac:dyDescent="0.3">
      <c r="A7" s="266" t="s">
        <v>73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92"/>
      <c r="X7" s="386"/>
      <c r="Y7" s="385"/>
      <c r="Z7" s="389"/>
      <c r="AA7" s="391"/>
    </row>
    <row r="8" spans="1:27" s="1107" customFormat="1" ht="14.25" thickBot="1" x14ac:dyDescent="0.3">
      <c r="A8" s="1100" t="s">
        <v>54</v>
      </c>
      <c r="B8" s="1104">
        <f>SUM(B4:B7)</f>
        <v>50000</v>
      </c>
      <c r="C8" s="1104">
        <f>SUM(C4:C7)</f>
        <v>7000</v>
      </c>
      <c r="D8" s="1104">
        <f t="shared" ref="D8:M8" si="0">SUM(D4:D7)</f>
        <v>0</v>
      </c>
      <c r="E8" s="1104">
        <f t="shared" si="0"/>
        <v>0</v>
      </c>
      <c r="F8" s="1104">
        <f t="shared" si="0"/>
        <v>6000</v>
      </c>
      <c r="G8" s="1104">
        <f t="shared" si="0"/>
        <v>0</v>
      </c>
      <c r="H8" s="1104">
        <f t="shared" si="0"/>
        <v>0</v>
      </c>
      <c r="I8" s="1104">
        <f t="shared" si="0"/>
        <v>0</v>
      </c>
      <c r="J8" s="1104">
        <f t="shared" si="0"/>
        <v>0</v>
      </c>
      <c r="K8" s="1104">
        <f t="shared" si="0"/>
        <v>3000</v>
      </c>
      <c r="L8" s="1104">
        <f t="shared" si="0"/>
        <v>95000</v>
      </c>
      <c r="M8" s="1104">
        <f t="shared" si="0"/>
        <v>120000</v>
      </c>
      <c r="N8" s="1104">
        <f t="shared" ref="N8:X8" si="1">SUM(N4:N7)</f>
        <v>0</v>
      </c>
      <c r="O8" s="1104">
        <f t="shared" si="1"/>
        <v>12500</v>
      </c>
      <c r="P8" s="1104">
        <f t="shared" si="1"/>
        <v>0</v>
      </c>
      <c r="Q8" s="1104">
        <f t="shared" si="1"/>
        <v>49600</v>
      </c>
      <c r="R8" s="1104">
        <f t="shared" si="1"/>
        <v>40000</v>
      </c>
      <c r="S8" s="1104">
        <f t="shared" si="1"/>
        <v>0</v>
      </c>
      <c r="T8" s="1104">
        <f t="shared" si="1"/>
        <v>0</v>
      </c>
      <c r="U8" s="1104">
        <f t="shared" si="1"/>
        <v>0</v>
      </c>
      <c r="V8" s="1104">
        <f t="shared" si="1"/>
        <v>0</v>
      </c>
      <c r="W8" s="1104">
        <f t="shared" si="1"/>
        <v>12500</v>
      </c>
      <c r="X8" s="1104">
        <f t="shared" si="1"/>
        <v>97600</v>
      </c>
      <c r="Y8" s="1104">
        <f>SUM(B8:X8)</f>
        <v>493200</v>
      </c>
      <c r="Z8" s="1105">
        <v>0</v>
      </c>
      <c r="AA8" s="1106">
        <f>SUM(Y8+Z8)</f>
        <v>493200</v>
      </c>
    </row>
  </sheetData>
  <mergeCells count="1">
    <mergeCell ref="A2:A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L1</vt:lpstr>
      <vt:lpstr>L2</vt:lpstr>
      <vt:lpstr>L3</vt:lpstr>
      <vt:lpstr>L4</vt:lpstr>
      <vt:lpstr>L5</vt:lpstr>
      <vt:lpstr>L6</vt:lpstr>
      <vt:lpstr>L7</vt:lpstr>
      <vt:lpstr>L10</vt:lpstr>
      <vt:lpstr>L11</vt:lpstr>
      <vt:lpstr>L15</vt:lpstr>
      <vt:lpstr>L17</vt:lpstr>
      <vt:lpstr>L22 Persistency Ratio</vt:lpstr>
      <vt:lpstr>L32</vt:lpstr>
      <vt:lpstr>L37FPI</vt:lpstr>
      <vt:lpstr>L37Lives</vt:lpstr>
      <vt:lpstr>L38 FPI</vt:lpstr>
      <vt:lpstr>L38 NOP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Pande Sandeep</dc:creator>
  <cp:lastModifiedBy>Pande Sandeep</cp:lastModifiedBy>
  <cp:lastPrinted>2023-06-07T10:00:36Z</cp:lastPrinted>
  <dcterms:created xsi:type="dcterms:W3CDTF">2019-02-21T06:27:16Z</dcterms:created>
  <dcterms:modified xsi:type="dcterms:W3CDTF">2023-07-03T04:36:37Z</dcterms:modified>
</cp:coreProperties>
</file>